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0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eisgov.sharepoint.com/sites/LocalEnergyHubs/Shared Documents/North East and Yorkshire Hub/Hub Local Capacity Support/Priority Pipeline Projects Collaboration/Solar for Business - Harry/For Publication/"/>
    </mc:Choice>
  </mc:AlternateContent>
  <xr:revisionPtr revIDLastSave="1187" documentId="8_{ABD6A3A0-16E9-45C7-8F37-D3BF6376DF9F}" xr6:coauthVersionLast="47" xr6:coauthVersionMax="47" xr10:uidLastSave="{3512D544-9995-4259-9591-069EB6289B27}"/>
  <bookViews>
    <workbookView minimized="1" xWindow="3075" yWindow="3075" windowWidth="21600" windowHeight="11235" firstSheet="1" activeTab="1" xr2:uid="{E77C0C94-EF33-49A2-B7C6-A39AD883E000}"/>
  </bookViews>
  <sheets>
    <sheet name="Introduction" sheetId="6" r:id="rId1"/>
    <sheet name="Inputs" sheetId="2" r:id="rId2"/>
    <sheet name="Calculations" sheetId="4" r:id="rId3"/>
    <sheet name="Outputs" sheetId="5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4" i="4" l="1"/>
  <c r="D70" i="4"/>
  <c r="AC86" i="4" s="1"/>
  <c r="D65" i="4"/>
  <c r="D51" i="4"/>
  <c r="F66" i="4" s="1"/>
  <c r="F68" i="4" s="1"/>
  <c r="D46" i="4"/>
  <c r="D32" i="4"/>
  <c r="L47" i="4" s="1"/>
  <c r="L49" i="4" s="1"/>
  <c r="D27" i="4"/>
  <c r="D13" i="4"/>
  <c r="J28" i="4" s="1"/>
  <c r="J30" i="4" s="1"/>
  <c r="G10" i="4"/>
  <c r="G11" i="4" s="1"/>
  <c r="H10" i="4"/>
  <c r="H11" i="4" s="1"/>
  <c r="I10" i="4"/>
  <c r="I11" i="4" s="1"/>
  <c r="J10" i="4"/>
  <c r="J11" i="4" s="1"/>
  <c r="K10" i="4"/>
  <c r="K11" i="4" s="1"/>
  <c r="L10" i="4"/>
  <c r="L11" i="4" s="1"/>
  <c r="M10" i="4"/>
  <c r="M11" i="4" s="1"/>
  <c r="N10" i="4"/>
  <c r="N11" i="4" s="1"/>
  <c r="O10" i="4"/>
  <c r="O11" i="4" s="1"/>
  <c r="P10" i="4"/>
  <c r="P11" i="4" s="1"/>
  <c r="Q10" i="4"/>
  <c r="Q11" i="4" s="1"/>
  <c r="R10" i="4"/>
  <c r="R11" i="4" s="1"/>
  <c r="S10" i="4"/>
  <c r="S11" i="4" s="1"/>
  <c r="T10" i="4"/>
  <c r="T11" i="4" s="1"/>
  <c r="U10" i="4"/>
  <c r="U11" i="4" s="1"/>
  <c r="V10" i="4"/>
  <c r="V11" i="4" s="1"/>
  <c r="W10" i="4"/>
  <c r="W11" i="4" s="1"/>
  <c r="X10" i="4"/>
  <c r="X11" i="4" s="1"/>
  <c r="Y10" i="4"/>
  <c r="Y11" i="4" s="1"/>
  <c r="Z10" i="4"/>
  <c r="Z11" i="4" s="1"/>
  <c r="AA10" i="4"/>
  <c r="AA11" i="4" s="1"/>
  <c r="AB10" i="4"/>
  <c r="AB11" i="4" s="1"/>
  <c r="AC10" i="4"/>
  <c r="AC11" i="4" s="1"/>
  <c r="F10" i="4"/>
  <c r="F11" i="4" s="1"/>
  <c r="E10" i="4"/>
  <c r="E11" i="4" s="1"/>
  <c r="F4" i="4"/>
  <c r="G4" i="4"/>
  <c r="H4" i="4"/>
  <c r="I4" i="4"/>
  <c r="J4" i="4"/>
  <c r="K4" i="4"/>
  <c r="L4" i="4"/>
  <c r="M4" i="4"/>
  <c r="N4" i="4"/>
  <c r="O4" i="4"/>
  <c r="P4" i="4"/>
  <c r="Q4" i="4"/>
  <c r="R4" i="4"/>
  <c r="S4" i="4"/>
  <c r="T4" i="4"/>
  <c r="U4" i="4"/>
  <c r="V4" i="4"/>
  <c r="W4" i="4"/>
  <c r="X4" i="4"/>
  <c r="Y4" i="4"/>
  <c r="Z4" i="4"/>
  <c r="AA4" i="4"/>
  <c r="AB4" i="4"/>
  <c r="AC4" i="4"/>
  <c r="E4" i="4"/>
  <c r="D8" i="4"/>
  <c r="D7" i="4"/>
  <c r="D6" i="4"/>
  <c r="D5" i="4"/>
  <c r="G3" i="4"/>
  <c r="H3" i="4"/>
  <c r="I3" i="4"/>
  <c r="J3" i="4"/>
  <c r="K3" i="4"/>
  <c r="L3" i="4"/>
  <c r="M3" i="4"/>
  <c r="N3" i="4"/>
  <c r="O3" i="4"/>
  <c r="P3" i="4"/>
  <c r="Q3" i="4"/>
  <c r="R3" i="4"/>
  <c r="S3" i="4"/>
  <c r="T3" i="4"/>
  <c r="U3" i="4"/>
  <c r="V3" i="4"/>
  <c r="W3" i="4"/>
  <c r="X3" i="4"/>
  <c r="Y3" i="4"/>
  <c r="Z3" i="4"/>
  <c r="AA3" i="4"/>
  <c r="AB3" i="4"/>
  <c r="AC3" i="4"/>
  <c r="F3" i="4"/>
  <c r="E3" i="4"/>
  <c r="U98" i="4" l="1"/>
  <c r="AC98" i="4"/>
  <c r="M98" i="4"/>
  <c r="K98" i="4"/>
  <c r="AA98" i="4"/>
  <c r="S98" i="4"/>
  <c r="Z98" i="4"/>
  <c r="J98" i="4"/>
  <c r="R98" i="4"/>
  <c r="D24" i="4"/>
  <c r="E28" i="4"/>
  <c r="E30" i="4" s="1"/>
  <c r="Y28" i="4"/>
  <c r="Y30" i="4" s="1"/>
  <c r="W28" i="4"/>
  <c r="W30" i="4" s="1"/>
  <c r="O28" i="4"/>
  <c r="O30" i="4" s="1"/>
  <c r="AB85" i="4"/>
  <c r="AB87" i="4" s="1"/>
  <c r="G28" i="4"/>
  <c r="G30" i="4" s="1"/>
  <c r="Z85" i="4"/>
  <c r="Z87" i="4" s="1"/>
  <c r="X28" i="4"/>
  <c r="X30" i="4" s="1"/>
  <c r="K47" i="4"/>
  <c r="K49" i="4" s="1"/>
  <c r="D52" i="4"/>
  <c r="E53" i="4" s="1"/>
  <c r="E54" i="4" s="1"/>
  <c r="E60" i="4" s="1"/>
  <c r="T85" i="4"/>
  <c r="T87" i="4" s="1"/>
  <c r="I47" i="4"/>
  <c r="I49" i="4" s="1"/>
  <c r="R85" i="4"/>
  <c r="R87" i="4" s="1"/>
  <c r="Q28" i="4"/>
  <c r="AA47" i="4"/>
  <c r="AA49" i="4" s="1"/>
  <c r="H66" i="4"/>
  <c r="H68" i="4" s="1"/>
  <c r="L85" i="4"/>
  <c r="L87" i="4" s="1"/>
  <c r="H98" i="4"/>
  <c r="Y47" i="4"/>
  <c r="Y49" i="4" s="1"/>
  <c r="J85" i="4"/>
  <c r="J87" i="4" s="1"/>
  <c r="X98" i="4"/>
  <c r="P98" i="4"/>
  <c r="D26" i="4"/>
  <c r="I28" i="4"/>
  <c r="I30" i="4" s="1"/>
  <c r="S47" i="4"/>
  <c r="S49" i="4" s="1"/>
  <c r="D81" i="4"/>
  <c r="AC48" i="4"/>
  <c r="Q47" i="4"/>
  <c r="C2" i="5"/>
  <c r="W98" i="4"/>
  <c r="G98" i="4"/>
  <c r="O98" i="4"/>
  <c r="D98" i="4"/>
  <c r="Y98" i="4"/>
  <c r="Q98" i="4"/>
  <c r="I98" i="4"/>
  <c r="V98" i="4"/>
  <c r="N98" i="4"/>
  <c r="F98" i="4"/>
  <c r="AB98" i="4"/>
  <c r="T98" i="4"/>
  <c r="L98" i="4"/>
  <c r="P28" i="4"/>
  <c r="P30" i="4" s="1"/>
  <c r="H28" i="4"/>
  <c r="H30" i="4" s="1"/>
  <c r="J47" i="4"/>
  <c r="J49" i="4" s="1"/>
  <c r="Z47" i="4"/>
  <c r="Z49" i="4" s="1"/>
  <c r="R47" i="4"/>
  <c r="R49" i="4" s="1"/>
  <c r="D64" i="4"/>
  <c r="E98" i="4"/>
  <c r="F28" i="4"/>
  <c r="F30" i="4" s="1"/>
  <c r="V28" i="4"/>
  <c r="V30" i="4" s="1"/>
  <c r="N28" i="4"/>
  <c r="N30" i="4" s="1"/>
  <c r="AC29" i="4"/>
  <c r="D43" i="4"/>
  <c r="H47" i="4"/>
  <c r="H49" i="4" s="1"/>
  <c r="X47" i="4"/>
  <c r="X49" i="4" s="1"/>
  <c r="P47" i="4"/>
  <c r="P49" i="4" s="1"/>
  <c r="I66" i="4"/>
  <c r="I68" i="4" s="1"/>
  <c r="Q66" i="4"/>
  <c r="Y66" i="4"/>
  <c r="Y68" i="4" s="1"/>
  <c r="Q63" i="4"/>
  <c r="J66" i="4"/>
  <c r="J68" i="4" s="1"/>
  <c r="R66" i="4"/>
  <c r="R68" i="4" s="1"/>
  <c r="Z66" i="4"/>
  <c r="Z68" i="4" s="1"/>
  <c r="D62" i="4"/>
  <c r="K66" i="4"/>
  <c r="K68" i="4" s="1"/>
  <c r="S66" i="4"/>
  <c r="S68" i="4" s="1"/>
  <c r="AA66" i="4"/>
  <c r="AA68" i="4" s="1"/>
  <c r="L66" i="4"/>
  <c r="L68" i="4" s="1"/>
  <c r="T66" i="4"/>
  <c r="T68" i="4" s="1"/>
  <c r="AB66" i="4"/>
  <c r="AB68" i="4" s="1"/>
  <c r="AC67" i="4"/>
  <c r="M66" i="4"/>
  <c r="M68" i="4" s="1"/>
  <c r="U66" i="4"/>
  <c r="U68" i="4" s="1"/>
  <c r="AC66" i="4"/>
  <c r="G66" i="4"/>
  <c r="G68" i="4" s="1"/>
  <c r="O66" i="4"/>
  <c r="O68" i="4" s="1"/>
  <c r="W66" i="4"/>
  <c r="W68" i="4" s="1"/>
  <c r="E66" i="4"/>
  <c r="E68" i="4" s="1"/>
  <c r="D14" i="4"/>
  <c r="E15" i="4" s="1"/>
  <c r="AC28" i="4"/>
  <c r="U28" i="4"/>
  <c r="U30" i="4" s="1"/>
  <c r="M28" i="4"/>
  <c r="M30" i="4" s="1"/>
  <c r="D33" i="4"/>
  <c r="E34" i="4" s="1"/>
  <c r="E35" i="4" s="1"/>
  <c r="E41" i="4" s="1"/>
  <c r="Q44" i="4"/>
  <c r="G47" i="4"/>
  <c r="G49" i="4" s="1"/>
  <c r="W47" i="4"/>
  <c r="W49" i="4" s="1"/>
  <c r="O47" i="4"/>
  <c r="O49" i="4" s="1"/>
  <c r="X66" i="4"/>
  <c r="X68" i="4" s="1"/>
  <c r="AB28" i="4"/>
  <c r="AB30" i="4" s="1"/>
  <c r="T28" i="4"/>
  <c r="T30" i="4" s="1"/>
  <c r="L28" i="4"/>
  <c r="L30" i="4" s="1"/>
  <c r="D45" i="4"/>
  <c r="F47" i="4"/>
  <c r="F49" i="4" s="1"/>
  <c r="V47" i="4"/>
  <c r="V49" i="4" s="1"/>
  <c r="N47" i="4"/>
  <c r="N49" i="4" s="1"/>
  <c r="V66" i="4"/>
  <c r="V68" i="4" s="1"/>
  <c r="AA28" i="4"/>
  <c r="AA30" i="4" s="1"/>
  <c r="S28" i="4"/>
  <c r="S30" i="4" s="1"/>
  <c r="K28" i="4"/>
  <c r="K30" i="4" s="1"/>
  <c r="AC47" i="4"/>
  <c r="U47" i="4"/>
  <c r="U49" i="4" s="1"/>
  <c r="M47" i="4"/>
  <c r="M49" i="4" s="1"/>
  <c r="P66" i="4"/>
  <c r="P68" i="4" s="1"/>
  <c r="Q25" i="4"/>
  <c r="Z28" i="4"/>
  <c r="Z30" i="4" s="1"/>
  <c r="R28" i="4"/>
  <c r="R30" i="4" s="1"/>
  <c r="E47" i="4"/>
  <c r="E49" i="4" s="1"/>
  <c r="AB47" i="4"/>
  <c r="AB49" i="4" s="1"/>
  <c r="T47" i="4"/>
  <c r="T49" i="4" s="1"/>
  <c r="N66" i="4"/>
  <c r="N68" i="4" s="1"/>
  <c r="AA85" i="4"/>
  <c r="AA87" i="4" s="1"/>
  <c r="S85" i="4"/>
  <c r="S87" i="4" s="1"/>
  <c r="K85" i="4"/>
  <c r="K87" i="4" s="1"/>
  <c r="Q82" i="4"/>
  <c r="Y85" i="4"/>
  <c r="Y87" i="4" s="1"/>
  <c r="Q85" i="4"/>
  <c r="I85" i="4"/>
  <c r="I87" i="4" s="1"/>
  <c r="D83" i="4"/>
  <c r="X85" i="4"/>
  <c r="X87" i="4" s="1"/>
  <c r="P85" i="4"/>
  <c r="P87" i="4" s="1"/>
  <c r="H85" i="4"/>
  <c r="H87" i="4" s="1"/>
  <c r="W85" i="4"/>
  <c r="W87" i="4" s="1"/>
  <c r="O85" i="4"/>
  <c r="O87" i="4" s="1"/>
  <c r="G85" i="4"/>
  <c r="G87" i="4" s="1"/>
  <c r="E85" i="4"/>
  <c r="E87" i="4" s="1"/>
  <c r="V85" i="4"/>
  <c r="V87" i="4" s="1"/>
  <c r="N85" i="4"/>
  <c r="N87" i="4" s="1"/>
  <c r="F85" i="4"/>
  <c r="F87" i="4" s="1"/>
  <c r="D71" i="4"/>
  <c r="E72" i="4" s="1"/>
  <c r="AC85" i="4"/>
  <c r="AC87" i="4" s="1"/>
  <c r="U85" i="4"/>
  <c r="U87" i="4" s="1"/>
  <c r="M85" i="4"/>
  <c r="M87" i="4" s="1"/>
  <c r="E73" i="4" l="1"/>
  <c r="E79" i="4" s="1"/>
  <c r="E91" i="4"/>
  <c r="D30" i="4"/>
  <c r="Q30" i="4"/>
  <c r="D87" i="4"/>
  <c r="F99" i="4"/>
  <c r="F100" i="4" s="1"/>
  <c r="I99" i="4"/>
  <c r="I100" i="4" s="1"/>
  <c r="F53" i="4"/>
  <c r="F54" i="4" s="1"/>
  <c r="AC49" i="4"/>
  <c r="Q87" i="4"/>
  <c r="AB99" i="4"/>
  <c r="AB100" i="4" s="1"/>
  <c r="D49" i="4"/>
  <c r="S99" i="4"/>
  <c r="S100" i="4" s="1"/>
  <c r="T99" i="4"/>
  <c r="T100" i="4" s="1"/>
  <c r="E59" i="4"/>
  <c r="C3" i="5"/>
  <c r="E16" i="4"/>
  <c r="E22" i="4" s="1"/>
  <c r="P99" i="4"/>
  <c r="P100" i="4" s="1"/>
  <c r="X99" i="4"/>
  <c r="X100" i="4" s="1"/>
  <c r="R99" i="4"/>
  <c r="R100" i="4" s="1"/>
  <c r="J99" i="4"/>
  <c r="J100" i="4" s="1"/>
  <c r="Z99" i="4"/>
  <c r="Z100" i="4" s="1"/>
  <c r="O99" i="4"/>
  <c r="O100" i="4" s="1"/>
  <c r="Q49" i="4"/>
  <c r="L99" i="4"/>
  <c r="L100" i="4" s="1"/>
  <c r="W99" i="4"/>
  <c r="W100" i="4" s="1"/>
  <c r="H99" i="4"/>
  <c r="H100" i="4" s="1"/>
  <c r="K99" i="4"/>
  <c r="K100" i="4" s="1"/>
  <c r="AC68" i="4"/>
  <c r="U99" i="4"/>
  <c r="U100" i="4" s="1"/>
  <c r="Y99" i="4"/>
  <c r="Y100" i="4" s="1"/>
  <c r="F34" i="4"/>
  <c r="F35" i="4" s="1"/>
  <c r="E40" i="4"/>
  <c r="Q68" i="4"/>
  <c r="F72" i="4"/>
  <c r="F73" i="4" s="1"/>
  <c r="F79" i="4" s="1"/>
  <c r="E78" i="4"/>
  <c r="N99" i="4"/>
  <c r="N100" i="4" s="1"/>
  <c r="AA99" i="4"/>
  <c r="AA100" i="4" s="1"/>
  <c r="AC30" i="4"/>
  <c r="V99" i="4"/>
  <c r="V100" i="4" s="1"/>
  <c r="F15" i="4"/>
  <c r="F16" i="4" s="1"/>
  <c r="E21" i="4"/>
  <c r="D68" i="4"/>
  <c r="E99" i="4"/>
  <c r="E100" i="4" s="1"/>
  <c r="E55" i="4"/>
  <c r="E57" i="4" s="1"/>
  <c r="E56" i="4"/>
  <c r="E61" i="4" s="1"/>
  <c r="M99" i="4"/>
  <c r="M100" i="4" s="1"/>
  <c r="G99" i="4"/>
  <c r="G100" i="4" s="1"/>
  <c r="F59" i="4"/>
  <c r="G53" i="4" l="1"/>
  <c r="G54" i="4" s="1"/>
  <c r="G60" i="4" s="1"/>
  <c r="F36" i="4"/>
  <c r="F41" i="4"/>
  <c r="F56" i="4"/>
  <c r="F60" i="4"/>
  <c r="F55" i="4"/>
  <c r="F57" i="4" s="1"/>
  <c r="D99" i="4"/>
  <c r="D100" i="4" s="1"/>
  <c r="D102" i="4" s="1"/>
  <c r="C5" i="5"/>
  <c r="AC99" i="4"/>
  <c r="AC100" i="4" s="1"/>
  <c r="Q99" i="4"/>
  <c r="Q100" i="4" s="1"/>
  <c r="E18" i="4"/>
  <c r="E23" i="4" s="1"/>
  <c r="E17" i="4"/>
  <c r="E19" i="4" s="1"/>
  <c r="E37" i="4"/>
  <c r="E36" i="4"/>
  <c r="E38" i="4" s="1"/>
  <c r="G15" i="4"/>
  <c r="G16" i="4" s="1"/>
  <c r="F17" i="4"/>
  <c r="F19" i="4" s="1"/>
  <c r="F21" i="4"/>
  <c r="E74" i="4"/>
  <c r="E76" i="4" s="1"/>
  <c r="E75" i="4"/>
  <c r="E80" i="4" s="1"/>
  <c r="E92" i="4"/>
  <c r="F40" i="4"/>
  <c r="G34" i="4"/>
  <c r="G35" i="4" s="1"/>
  <c r="H53" i="4"/>
  <c r="H54" i="4" s="1"/>
  <c r="H60" i="4" s="1"/>
  <c r="G59" i="4"/>
  <c r="G56" i="4"/>
  <c r="G55" i="4"/>
  <c r="G57" i="4" s="1"/>
  <c r="G72" i="4"/>
  <c r="G73" i="4" s="1"/>
  <c r="G79" i="4" s="1"/>
  <c r="F78" i="4"/>
  <c r="F91" i="4"/>
  <c r="F75" i="4"/>
  <c r="F74" i="4"/>
  <c r="F76" i="4" s="1"/>
  <c r="E58" i="4"/>
  <c r="F61" i="4" l="1"/>
  <c r="D103" i="4"/>
  <c r="F58" i="4"/>
  <c r="C9" i="5"/>
  <c r="D104" i="4"/>
  <c r="F80" i="4"/>
  <c r="G58" i="4"/>
  <c r="H15" i="4"/>
  <c r="H16" i="4" s="1"/>
  <c r="G21" i="4"/>
  <c r="G17" i="4"/>
  <c r="G19" i="4" s="1"/>
  <c r="G61" i="4"/>
  <c r="E42" i="4"/>
  <c r="E89" i="4" s="1"/>
  <c r="E39" i="4"/>
  <c r="F77" i="4"/>
  <c r="I53" i="4"/>
  <c r="I54" i="4" s="1"/>
  <c r="I60" i="4" s="1"/>
  <c r="H59" i="4"/>
  <c r="E94" i="4"/>
  <c r="E77" i="4"/>
  <c r="E95" i="4"/>
  <c r="F37" i="4"/>
  <c r="F92" i="4"/>
  <c r="H34" i="4"/>
  <c r="H35" i="4" s="1"/>
  <c r="G40" i="4"/>
  <c r="G36" i="4"/>
  <c r="G38" i="4" s="1"/>
  <c r="F18" i="4"/>
  <c r="F20" i="4" s="1"/>
  <c r="F22" i="4"/>
  <c r="E20" i="4"/>
  <c r="H72" i="4"/>
  <c r="H73" i="4" s="1"/>
  <c r="H79" i="4" s="1"/>
  <c r="G78" i="4"/>
  <c r="G91" i="4"/>
  <c r="F38" i="4"/>
  <c r="F95" i="4" s="1"/>
  <c r="G92" i="4" l="1"/>
  <c r="F94" i="4"/>
  <c r="F96" i="4" s="1"/>
  <c r="F102" i="4" s="1"/>
  <c r="F23" i="4"/>
  <c r="F42" i="4"/>
  <c r="C7" i="5"/>
  <c r="I72" i="4"/>
  <c r="I73" i="4" s="1"/>
  <c r="I79" i="4" s="1"/>
  <c r="H78" i="4"/>
  <c r="H75" i="4"/>
  <c r="H74" i="4"/>
  <c r="H76" i="4" s="1"/>
  <c r="H91" i="4"/>
  <c r="G18" i="4"/>
  <c r="G20" i="4" s="1"/>
  <c r="G22" i="4"/>
  <c r="I34" i="4"/>
  <c r="I35" i="4" s="1"/>
  <c r="H40" i="4"/>
  <c r="J53" i="4"/>
  <c r="J54" i="4" s="1"/>
  <c r="J60" i="4" s="1"/>
  <c r="I59" i="4"/>
  <c r="I56" i="4"/>
  <c r="G41" i="4"/>
  <c r="G37" i="4"/>
  <c r="G39" i="4" s="1"/>
  <c r="I15" i="4"/>
  <c r="I16" i="4" s="1"/>
  <c r="H21" i="4"/>
  <c r="H17" i="4"/>
  <c r="H19" i="4" s="1"/>
  <c r="H55" i="4"/>
  <c r="H57" i="4" s="1"/>
  <c r="H56" i="4"/>
  <c r="H61" i="4" s="1"/>
  <c r="F39" i="4"/>
  <c r="G74" i="4"/>
  <c r="G76" i="4" s="1"/>
  <c r="G95" i="4" s="1"/>
  <c r="G75" i="4"/>
  <c r="G80" i="4" s="1"/>
  <c r="E96" i="4"/>
  <c r="F89" i="4" l="1"/>
  <c r="I61" i="4"/>
  <c r="E102" i="4"/>
  <c r="C10" i="5"/>
  <c r="H18" i="4"/>
  <c r="H20" i="4" s="1"/>
  <c r="H22" i="4"/>
  <c r="H37" i="4"/>
  <c r="H41" i="4"/>
  <c r="H36" i="4"/>
  <c r="H38" i="4" s="1"/>
  <c r="H95" i="4" s="1"/>
  <c r="H92" i="4"/>
  <c r="G94" i="4"/>
  <c r="G96" i="4" s="1"/>
  <c r="G102" i="4" s="1"/>
  <c r="G77" i="4"/>
  <c r="K53" i="4"/>
  <c r="K54" i="4" s="1"/>
  <c r="K60" i="4" s="1"/>
  <c r="J59" i="4"/>
  <c r="J56" i="4"/>
  <c r="H77" i="4"/>
  <c r="H80" i="4"/>
  <c r="J15" i="4"/>
  <c r="J16" i="4" s="1"/>
  <c r="I21" i="4"/>
  <c r="G42" i="4"/>
  <c r="H58" i="4"/>
  <c r="I55" i="4"/>
  <c r="I57" i="4" s="1"/>
  <c r="I58" i="4" s="1"/>
  <c r="J34" i="4"/>
  <c r="J35" i="4" s="1"/>
  <c r="I40" i="4"/>
  <c r="I36" i="4"/>
  <c r="I38" i="4" s="1"/>
  <c r="J72" i="4"/>
  <c r="J73" i="4" s="1"/>
  <c r="J79" i="4" s="1"/>
  <c r="I78" i="4"/>
  <c r="I91" i="4"/>
  <c r="G23" i="4"/>
  <c r="E103" i="4" l="1"/>
  <c r="F103" i="4" s="1"/>
  <c r="F104" i="4" s="1"/>
  <c r="H23" i="4"/>
  <c r="I92" i="4"/>
  <c r="H42" i="4"/>
  <c r="G89" i="4"/>
  <c r="H94" i="4"/>
  <c r="H96" i="4" s="1"/>
  <c r="H102" i="4" s="1"/>
  <c r="I74" i="4"/>
  <c r="I76" i="4" s="1"/>
  <c r="I75" i="4"/>
  <c r="I80" i="4" s="1"/>
  <c r="J55" i="4"/>
  <c r="J57" i="4" s="1"/>
  <c r="J58" i="4" s="1"/>
  <c r="K34" i="4"/>
  <c r="K35" i="4" s="1"/>
  <c r="J40" i="4"/>
  <c r="K72" i="4"/>
  <c r="K73" i="4" s="1"/>
  <c r="K79" i="4" s="1"/>
  <c r="J91" i="4"/>
  <c r="J78" i="4"/>
  <c r="H39" i="4"/>
  <c r="K15" i="4"/>
  <c r="K16" i="4" s="1"/>
  <c r="J21" i="4"/>
  <c r="J17" i="4"/>
  <c r="J19" i="4" s="1"/>
  <c r="J61" i="4"/>
  <c r="I17" i="4"/>
  <c r="I19" i="4" s="1"/>
  <c r="I18" i="4"/>
  <c r="I22" i="4"/>
  <c r="I37" i="4"/>
  <c r="I39" i="4" s="1"/>
  <c r="I41" i="4"/>
  <c r="L53" i="4"/>
  <c r="L54" i="4" s="1"/>
  <c r="L60" i="4" s="1"/>
  <c r="K59" i="4"/>
  <c r="K56" i="4"/>
  <c r="E104" i="4" l="1"/>
  <c r="H89" i="4"/>
  <c r="G103" i="4"/>
  <c r="I23" i="4"/>
  <c r="J92" i="4"/>
  <c r="I20" i="4"/>
  <c r="J37" i="4"/>
  <c r="J41" i="4"/>
  <c r="L34" i="4"/>
  <c r="L35" i="4" s="1"/>
  <c r="K36" i="4"/>
  <c r="K38" i="4" s="1"/>
  <c r="K40" i="4"/>
  <c r="J36" i="4"/>
  <c r="J38" i="4" s="1"/>
  <c r="J74" i="4"/>
  <c r="J76" i="4" s="1"/>
  <c r="J75" i="4"/>
  <c r="J80" i="4" s="1"/>
  <c r="K61" i="4"/>
  <c r="K55" i="4"/>
  <c r="K57" i="4" s="1"/>
  <c r="K58" i="4" s="1"/>
  <c r="M53" i="4"/>
  <c r="M54" i="4" s="1"/>
  <c r="M60" i="4" s="1"/>
  <c r="L59" i="4"/>
  <c r="L56" i="4"/>
  <c r="L55" i="4"/>
  <c r="L57" i="4" s="1"/>
  <c r="I42" i="4"/>
  <c r="L72" i="4"/>
  <c r="L73" i="4" s="1"/>
  <c r="L79" i="4" s="1"/>
  <c r="K91" i="4"/>
  <c r="K78" i="4"/>
  <c r="I77" i="4"/>
  <c r="I94" i="4"/>
  <c r="J18" i="4"/>
  <c r="J20" i="4" s="1"/>
  <c r="J22" i="4"/>
  <c r="L15" i="4"/>
  <c r="L16" i="4" s="1"/>
  <c r="K21" i="4"/>
  <c r="K17" i="4"/>
  <c r="K19" i="4" s="1"/>
  <c r="I95" i="4"/>
  <c r="G104" i="4" l="1"/>
  <c r="I89" i="4"/>
  <c r="H103" i="4"/>
  <c r="H104" i="4" s="1"/>
  <c r="K92" i="4"/>
  <c r="L61" i="4"/>
  <c r="J23" i="4"/>
  <c r="I96" i="4"/>
  <c r="I102" i="4" s="1"/>
  <c r="J95" i="4"/>
  <c r="J42" i="4"/>
  <c r="J39" i="4"/>
  <c r="K18" i="4"/>
  <c r="K20" i="4" s="1"/>
  <c r="K22" i="4"/>
  <c r="N53" i="4"/>
  <c r="N54" i="4" s="1"/>
  <c r="N60" i="4" s="1"/>
  <c r="M59" i="4"/>
  <c r="M15" i="4"/>
  <c r="M16" i="4" s="1"/>
  <c r="L21" i="4"/>
  <c r="L17" i="4"/>
  <c r="L19" i="4" s="1"/>
  <c r="K74" i="4"/>
  <c r="K76" i="4" s="1"/>
  <c r="K95" i="4" s="1"/>
  <c r="K75" i="4"/>
  <c r="K80" i="4" s="1"/>
  <c r="K37" i="4"/>
  <c r="K41" i="4"/>
  <c r="M72" i="4"/>
  <c r="M73" i="4" s="1"/>
  <c r="M79" i="4" s="1"/>
  <c r="L91" i="4"/>
  <c r="L78" i="4"/>
  <c r="M34" i="4"/>
  <c r="M35" i="4" s="1"/>
  <c r="L40" i="4"/>
  <c r="L58" i="4"/>
  <c r="J94" i="4"/>
  <c r="J77" i="4"/>
  <c r="J89" i="4" l="1"/>
  <c r="I103" i="4"/>
  <c r="I104" i="4" s="1"/>
  <c r="K23" i="4"/>
  <c r="J96" i="4"/>
  <c r="J102" i="4" s="1"/>
  <c r="K42" i="4"/>
  <c r="K39" i="4"/>
  <c r="N34" i="4"/>
  <c r="N35" i="4" s="1"/>
  <c r="M40" i="4"/>
  <c r="L74" i="4"/>
  <c r="L76" i="4" s="1"/>
  <c r="L75" i="4"/>
  <c r="L80" i="4" s="1"/>
  <c r="K77" i="4"/>
  <c r="K94" i="4"/>
  <c r="K96" i="4" s="1"/>
  <c r="K102" i="4" s="1"/>
  <c r="O53" i="4"/>
  <c r="O54" i="4" s="1"/>
  <c r="O60" i="4" s="1"/>
  <c r="N55" i="4"/>
  <c r="N57" i="4" s="1"/>
  <c r="N56" i="4"/>
  <c r="N59" i="4"/>
  <c r="L92" i="4"/>
  <c r="L18" i="4"/>
  <c r="L20" i="4" s="1"/>
  <c r="L22" i="4"/>
  <c r="L37" i="4"/>
  <c r="L41" i="4"/>
  <c r="N72" i="4"/>
  <c r="N73" i="4" s="1"/>
  <c r="N79" i="4" s="1"/>
  <c r="M91" i="4"/>
  <c r="M78" i="4"/>
  <c r="N15" i="4"/>
  <c r="N16" i="4" s="1"/>
  <c r="M21" i="4"/>
  <c r="L36" i="4"/>
  <c r="L38" i="4" s="1"/>
  <c r="M55" i="4"/>
  <c r="M57" i="4" s="1"/>
  <c r="M56" i="4"/>
  <c r="M61" i="4" s="1"/>
  <c r="J103" i="4" l="1"/>
  <c r="J104" i="4" s="1"/>
  <c r="K89" i="4"/>
  <c r="L42" i="4"/>
  <c r="L23" i="4"/>
  <c r="N61" i="4"/>
  <c r="L39" i="4"/>
  <c r="L95" i="4"/>
  <c r="M37" i="4"/>
  <c r="M41" i="4"/>
  <c r="M36" i="4"/>
  <c r="M38" i="4" s="1"/>
  <c r="O15" i="4"/>
  <c r="O16" i="4" s="1"/>
  <c r="N21" i="4"/>
  <c r="N17" i="4"/>
  <c r="N19" i="4" s="1"/>
  <c r="O34" i="4"/>
  <c r="O35" i="4" s="1"/>
  <c r="N40" i="4"/>
  <c r="P53" i="4"/>
  <c r="P54" i="4" s="1"/>
  <c r="P60" i="4" s="1"/>
  <c r="O56" i="4"/>
  <c r="O59" i="4"/>
  <c r="M92" i="4"/>
  <c r="M58" i="4"/>
  <c r="M74" i="4"/>
  <c r="M76" i="4" s="1"/>
  <c r="M75" i="4"/>
  <c r="M80" i="4" s="1"/>
  <c r="L94" i="4"/>
  <c r="L96" i="4" s="1"/>
  <c r="L102" i="4" s="1"/>
  <c r="L77" i="4"/>
  <c r="O72" i="4"/>
  <c r="O73" i="4" s="1"/>
  <c r="O79" i="4" s="1"/>
  <c r="N78" i="4"/>
  <c r="N91" i="4"/>
  <c r="N75" i="4"/>
  <c r="M17" i="4"/>
  <c r="M19" i="4" s="1"/>
  <c r="M18" i="4"/>
  <c r="M22" i="4"/>
  <c r="N58" i="4"/>
  <c r="K103" i="4" l="1"/>
  <c r="K104" i="4" s="1"/>
  <c r="M20" i="4"/>
  <c r="L89" i="4"/>
  <c r="N80" i="4"/>
  <c r="M23" i="4"/>
  <c r="P72" i="4"/>
  <c r="P73" i="4" s="1"/>
  <c r="P79" i="4" s="1"/>
  <c r="O78" i="4"/>
  <c r="O91" i="4"/>
  <c r="O61" i="4"/>
  <c r="M94" i="4"/>
  <c r="M77" i="4"/>
  <c r="O55" i="4"/>
  <c r="O57" i="4" s="1"/>
  <c r="O58" i="4" s="1"/>
  <c r="N22" i="4"/>
  <c r="N18" i="4"/>
  <c r="N20" i="4" s="1"/>
  <c r="M95" i="4"/>
  <c r="N37" i="4"/>
  <c r="N41" i="4"/>
  <c r="P15" i="4"/>
  <c r="P16" i="4" s="1"/>
  <c r="O21" i="4"/>
  <c r="O17" i="4"/>
  <c r="O19" i="4" s="1"/>
  <c r="N74" i="4"/>
  <c r="N76" i="4" s="1"/>
  <c r="N36" i="4"/>
  <c r="N38" i="4" s="1"/>
  <c r="P34" i="4"/>
  <c r="P35" i="4" s="1"/>
  <c r="O40" i="4"/>
  <c r="O36" i="4"/>
  <c r="O38" i="4" s="1"/>
  <c r="Q53" i="4"/>
  <c r="Q54" i="4" s="1"/>
  <c r="Q60" i="4" s="1"/>
  <c r="P59" i="4"/>
  <c r="P56" i="4"/>
  <c r="N92" i="4"/>
  <c r="M42" i="4"/>
  <c r="M39" i="4"/>
  <c r="L103" i="4" l="1"/>
  <c r="L104" i="4" s="1"/>
  <c r="M89" i="4"/>
  <c r="P61" i="4"/>
  <c r="N39" i="4"/>
  <c r="N95" i="4"/>
  <c r="M96" i="4"/>
  <c r="M102" i="4" s="1"/>
  <c r="N94" i="4"/>
  <c r="N96" i="4" s="1"/>
  <c r="N102" i="4" s="1"/>
  <c r="O74" i="4"/>
  <c r="O76" i="4" s="1"/>
  <c r="O95" i="4" s="1"/>
  <c r="O75" i="4"/>
  <c r="N77" i="4"/>
  <c r="N23" i="4"/>
  <c r="O92" i="4"/>
  <c r="O18" i="4"/>
  <c r="O20" i="4" s="1"/>
  <c r="O22" i="4"/>
  <c r="Q15" i="4"/>
  <c r="Q16" i="4" s="1"/>
  <c r="P21" i="4"/>
  <c r="Q34" i="4"/>
  <c r="Q35" i="4" s="1"/>
  <c r="P40" i="4"/>
  <c r="R53" i="4"/>
  <c r="R54" i="4" s="1"/>
  <c r="R60" i="4" s="1"/>
  <c r="Q59" i="4"/>
  <c r="Q56" i="4"/>
  <c r="Q55" i="4"/>
  <c r="Q57" i="4" s="1"/>
  <c r="O41" i="4"/>
  <c r="O37" i="4"/>
  <c r="O39" i="4" s="1"/>
  <c r="P55" i="4"/>
  <c r="P57" i="4" s="1"/>
  <c r="P58" i="4" s="1"/>
  <c r="N42" i="4"/>
  <c r="Q72" i="4"/>
  <c r="Q73" i="4" s="1"/>
  <c r="Q79" i="4" s="1"/>
  <c r="P78" i="4"/>
  <c r="P75" i="4"/>
  <c r="P91" i="4"/>
  <c r="M103" i="4" l="1"/>
  <c r="M104" i="4" s="1"/>
  <c r="P92" i="4"/>
  <c r="P74" i="4"/>
  <c r="P76" i="4" s="1"/>
  <c r="P80" i="4"/>
  <c r="P17" i="4"/>
  <c r="P19" i="4" s="1"/>
  <c r="P18" i="4"/>
  <c r="P22" i="4"/>
  <c r="O94" i="4"/>
  <c r="O96" i="4" s="1"/>
  <c r="O102" i="4" s="1"/>
  <c r="O77" i="4"/>
  <c r="O42" i="4"/>
  <c r="R34" i="4"/>
  <c r="R35" i="4" s="1"/>
  <c r="Q40" i="4"/>
  <c r="Q36" i="4"/>
  <c r="Q38" i="4" s="1"/>
  <c r="Q61" i="4"/>
  <c r="Q58" i="4"/>
  <c r="R15" i="4"/>
  <c r="R16" i="4" s="1"/>
  <c r="Q21" i="4"/>
  <c r="Q17" i="4"/>
  <c r="Q19" i="4" s="1"/>
  <c r="P37" i="4"/>
  <c r="P41" i="4"/>
  <c r="P36" i="4"/>
  <c r="P38" i="4" s="1"/>
  <c r="R72" i="4"/>
  <c r="R73" i="4" s="1"/>
  <c r="R79" i="4" s="1"/>
  <c r="Q78" i="4"/>
  <c r="Q91" i="4"/>
  <c r="N89" i="4"/>
  <c r="S53" i="4"/>
  <c r="S54" i="4" s="1"/>
  <c r="S60" i="4" s="1"/>
  <c r="R59" i="4"/>
  <c r="R55" i="4"/>
  <c r="R57" i="4" s="1"/>
  <c r="R56" i="4"/>
  <c r="O80" i="4"/>
  <c r="O23" i="4"/>
  <c r="Q92" i="4" l="1"/>
  <c r="N103" i="4"/>
  <c r="N104" i="4" s="1"/>
  <c r="P42" i="4"/>
  <c r="O89" i="4"/>
  <c r="P23" i="4"/>
  <c r="P94" i="4"/>
  <c r="R61" i="4"/>
  <c r="P95" i="4"/>
  <c r="S15" i="4"/>
  <c r="S16" i="4" s="1"/>
  <c r="R21" i="4"/>
  <c r="P77" i="4"/>
  <c r="S72" i="4"/>
  <c r="S73" i="4" s="1"/>
  <c r="S79" i="4" s="1"/>
  <c r="R91" i="4"/>
  <c r="R78" i="4"/>
  <c r="T53" i="4"/>
  <c r="T54" i="4" s="1"/>
  <c r="T60" i="4" s="1"/>
  <c r="S59" i="4"/>
  <c r="S56" i="4"/>
  <c r="P39" i="4"/>
  <c r="Q37" i="4"/>
  <c r="Q39" i="4" s="1"/>
  <c r="Q41" i="4"/>
  <c r="P20" i="4"/>
  <c r="S34" i="4"/>
  <c r="S35" i="4" s="1"/>
  <c r="R40" i="4"/>
  <c r="R58" i="4"/>
  <c r="Q74" i="4"/>
  <c r="Q76" i="4" s="1"/>
  <c r="Q95" i="4" s="1"/>
  <c r="Q75" i="4"/>
  <c r="Q18" i="4"/>
  <c r="Q20" i="4" s="1"/>
  <c r="Q22" i="4"/>
  <c r="O103" i="4" l="1"/>
  <c r="O104" i="4" s="1"/>
  <c r="P96" i="4"/>
  <c r="P102" i="4" s="1"/>
  <c r="P89" i="4"/>
  <c r="R74" i="4"/>
  <c r="R76" i="4" s="1"/>
  <c r="R75" i="4"/>
  <c r="R80" i="4" s="1"/>
  <c r="R37" i="4"/>
  <c r="R41" i="4"/>
  <c r="Q23" i="4"/>
  <c r="T34" i="4"/>
  <c r="T35" i="4" s="1"/>
  <c r="S36" i="4"/>
  <c r="S38" i="4" s="1"/>
  <c r="S40" i="4"/>
  <c r="S61" i="4"/>
  <c r="S55" i="4"/>
  <c r="S57" i="4" s="1"/>
  <c r="S58" i="4" s="1"/>
  <c r="R36" i="4"/>
  <c r="R38" i="4" s="1"/>
  <c r="T72" i="4"/>
  <c r="T73" i="4" s="1"/>
  <c r="T79" i="4" s="1"/>
  <c r="S91" i="4"/>
  <c r="S78" i="4"/>
  <c r="U53" i="4"/>
  <c r="U54" i="4" s="1"/>
  <c r="U60" i="4" s="1"/>
  <c r="T56" i="4"/>
  <c r="T59" i="4"/>
  <c r="Q94" i="4"/>
  <c r="Q96" i="4" s="1"/>
  <c r="Q102" i="4" s="1"/>
  <c r="Q77" i="4"/>
  <c r="Q42" i="4"/>
  <c r="Q80" i="4"/>
  <c r="R17" i="4"/>
  <c r="R19" i="4" s="1"/>
  <c r="R18" i="4"/>
  <c r="R22" i="4"/>
  <c r="R92" i="4"/>
  <c r="T15" i="4"/>
  <c r="T16" i="4" s="1"/>
  <c r="S21" i="4"/>
  <c r="P103" i="4" l="1"/>
  <c r="P104" i="4" s="1"/>
  <c r="R23" i="4"/>
  <c r="R20" i="4"/>
  <c r="Q89" i="4"/>
  <c r="T55" i="4"/>
  <c r="T57" i="4" s="1"/>
  <c r="T58" i="4" s="1"/>
  <c r="S74" i="4"/>
  <c r="S76" i="4" s="1"/>
  <c r="S75" i="4"/>
  <c r="S80" i="4" s="1"/>
  <c r="U72" i="4"/>
  <c r="U73" i="4" s="1"/>
  <c r="U79" i="4" s="1"/>
  <c r="T91" i="4"/>
  <c r="T78" i="4"/>
  <c r="U34" i="4"/>
  <c r="U35" i="4" s="1"/>
  <c r="T40" i="4"/>
  <c r="T61" i="4"/>
  <c r="R42" i="4"/>
  <c r="R89" i="4" s="1"/>
  <c r="R39" i="4"/>
  <c r="V53" i="4"/>
  <c r="V54" i="4" s="1"/>
  <c r="V60" i="4" s="1"/>
  <c r="U59" i="4"/>
  <c r="S92" i="4"/>
  <c r="S17" i="4"/>
  <c r="S19" i="4" s="1"/>
  <c r="S18" i="4"/>
  <c r="S22" i="4"/>
  <c r="R94" i="4"/>
  <c r="R77" i="4"/>
  <c r="U15" i="4"/>
  <c r="U16" i="4" s="1"/>
  <c r="T21" i="4"/>
  <c r="T17" i="4"/>
  <c r="T19" i="4" s="1"/>
  <c r="S37" i="4"/>
  <c r="S41" i="4"/>
  <c r="R95" i="4"/>
  <c r="Q103" i="4" l="1"/>
  <c r="Q104" i="4" s="1"/>
  <c r="S23" i="4"/>
  <c r="S20" i="4"/>
  <c r="W53" i="4"/>
  <c r="W54" i="4" s="1"/>
  <c r="W60" i="4" s="1"/>
  <c r="V59" i="4"/>
  <c r="V56" i="4"/>
  <c r="T74" i="4"/>
  <c r="T76" i="4" s="1"/>
  <c r="T75" i="4"/>
  <c r="T92" i="4"/>
  <c r="V15" i="4"/>
  <c r="V16" i="4" s="1"/>
  <c r="U21" i="4"/>
  <c r="U17" i="4"/>
  <c r="U19" i="4" s="1"/>
  <c r="T37" i="4"/>
  <c r="T41" i="4"/>
  <c r="V72" i="4"/>
  <c r="V73" i="4" s="1"/>
  <c r="V79" i="4" s="1"/>
  <c r="U91" i="4"/>
  <c r="U78" i="4"/>
  <c r="T36" i="4"/>
  <c r="T38" i="4" s="1"/>
  <c r="S94" i="4"/>
  <c r="S77" i="4"/>
  <c r="T18" i="4"/>
  <c r="T20" i="4" s="1"/>
  <c r="T22" i="4"/>
  <c r="R96" i="4"/>
  <c r="R102" i="4" s="1"/>
  <c r="S95" i="4"/>
  <c r="U55" i="4"/>
  <c r="U57" i="4" s="1"/>
  <c r="U56" i="4"/>
  <c r="S42" i="4"/>
  <c r="S39" i="4"/>
  <c r="V34" i="4"/>
  <c r="V35" i="4" s="1"/>
  <c r="U40" i="4"/>
  <c r="R103" i="4" l="1"/>
  <c r="R104" i="4" s="1"/>
  <c r="S89" i="4"/>
  <c r="T42" i="4"/>
  <c r="U92" i="4"/>
  <c r="T95" i="4"/>
  <c r="T39" i="4"/>
  <c r="S96" i="4"/>
  <c r="S102" i="4" s="1"/>
  <c r="U58" i="4"/>
  <c r="W72" i="4"/>
  <c r="W73" i="4" s="1"/>
  <c r="W79" i="4" s="1"/>
  <c r="V78" i="4"/>
  <c r="V91" i="4"/>
  <c r="V75" i="4"/>
  <c r="T94" i="4"/>
  <c r="T77" i="4"/>
  <c r="U37" i="4"/>
  <c r="U41" i="4"/>
  <c r="V55" i="4"/>
  <c r="V57" i="4" s="1"/>
  <c r="V58" i="4" s="1"/>
  <c r="U36" i="4"/>
  <c r="U38" i="4" s="1"/>
  <c r="U18" i="4"/>
  <c r="U20" i="4" s="1"/>
  <c r="U22" i="4"/>
  <c r="U74" i="4"/>
  <c r="U76" i="4" s="1"/>
  <c r="U75" i="4"/>
  <c r="U80" i="4" s="1"/>
  <c r="W15" i="4"/>
  <c r="W16" i="4" s="1"/>
  <c r="V21" i="4"/>
  <c r="V17" i="4"/>
  <c r="V19" i="4" s="1"/>
  <c r="V61" i="4"/>
  <c r="T80" i="4"/>
  <c r="W34" i="4"/>
  <c r="W35" i="4" s="1"/>
  <c r="V40" i="4"/>
  <c r="U61" i="4"/>
  <c r="T23" i="4"/>
  <c r="X53" i="4"/>
  <c r="X54" i="4" s="1"/>
  <c r="X60" i="4" s="1"/>
  <c r="W56" i="4"/>
  <c r="W59" i="4"/>
  <c r="S103" i="4" l="1"/>
  <c r="S104" i="4" s="1"/>
  <c r="T96" i="4"/>
  <c r="T102" i="4" s="1"/>
  <c r="T89" i="4"/>
  <c r="U95" i="4"/>
  <c r="U23" i="4"/>
  <c r="W61" i="4"/>
  <c r="V80" i="4"/>
  <c r="X15" i="4"/>
  <c r="X16" i="4" s="1"/>
  <c r="W17" i="4"/>
  <c r="W19" i="4" s="1"/>
  <c r="W21" i="4"/>
  <c r="V74" i="4"/>
  <c r="V76" i="4" s="1"/>
  <c r="Y53" i="4"/>
  <c r="Y54" i="4" s="1"/>
  <c r="Y60" i="4" s="1"/>
  <c r="X55" i="4"/>
  <c r="X57" i="4" s="1"/>
  <c r="X56" i="4"/>
  <c r="X59" i="4"/>
  <c r="V37" i="4"/>
  <c r="V41" i="4"/>
  <c r="V92" i="4"/>
  <c r="V22" i="4"/>
  <c r="V18" i="4"/>
  <c r="V20" i="4" s="1"/>
  <c r="V36" i="4"/>
  <c r="V38" i="4" s="1"/>
  <c r="W55" i="4"/>
  <c r="W57" i="4" s="1"/>
  <c r="W58" i="4" s="1"/>
  <c r="X34" i="4"/>
  <c r="X35" i="4" s="1"/>
  <c r="W40" i="4"/>
  <c r="W36" i="4"/>
  <c r="W38" i="4" s="1"/>
  <c r="U94" i="4"/>
  <c r="U77" i="4"/>
  <c r="U42" i="4"/>
  <c r="U39" i="4"/>
  <c r="X72" i="4"/>
  <c r="X73" i="4" s="1"/>
  <c r="X79" i="4" s="1"/>
  <c r="W78" i="4"/>
  <c r="W91" i="4"/>
  <c r="U89" i="4" l="1"/>
  <c r="T103" i="4"/>
  <c r="T104" i="4" s="1"/>
  <c r="U96" i="4"/>
  <c r="U102" i="4" s="1"/>
  <c r="V42" i="4"/>
  <c r="X61" i="4"/>
  <c r="V95" i="4"/>
  <c r="V39" i="4"/>
  <c r="Z53" i="4"/>
  <c r="Z54" i="4" s="1"/>
  <c r="Z60" i="4" s="1"/>
  <c r="Y59" i="4"/>
  <c r="Y56" i="4"/>
  <c r="Y55" i="4"/>
  <c r="Y57" i="4" s="1"/>
  <c r="V77" i="4"/>
  <c r="V94" i="4"/>
  <c r="Y34" i="4"/>
  <c r="Y35" i="4" s="1"/>
  <c r="X40" i="4"/>
  <c r="X36" i="4"/>
  <c r="X38" i="4" s="1"/>
  <c r="W74" i="4"/>
  <c r="W76" i="4" s="1"/>
  <c r="W95" i="4" s="1"/>
  <c r="W75" i="4"/>
  <c r="V23" i="4"/>
  <c r="Y15" i="4"/>
  <c r="Y16" i="4" s="1"/>
  <c r="X21" i="4"/>
  <c r="Y72" i="4"/>
  <c r="Y73" i="4" s="1"/>
  <c r="Y79" i="4" s="1"/>
  <c r="X78" i="4"/>
  <c r="X75" i="4"/>
  <c r="X91" i="4"/>
  <c r="W18" i="4"/>
  <c r="W20" i="4" s="1"/>
  <c r="W22" i="4"/>
  <c r="W92" i="4"/>
  <c r="W37" i="4"/>
  <c r="W39" i="4" s="1"/>
  <c r="W41" i="4"/>
  <c r="X58" i="4"/>
  <c r="X92" i="4" l="1"/>
  <c r="U103" i="4"/>
  <c r="U104" i="4" s="1"/>
  <c r="W42" i="4"/>
  <c r="V89" i="4"/>
  <c r="W23" i="4"/>
  <c r="V96" i="4"/>
  <c r="V102" i="4" s="1"/>
  <c r="W94" i="4"/>
  <c r="W96" i="4" s="1"/>
  <c r="W102" i="4" s="1"/>
  <c r="W77" i="4"/>
  <c r="X80" i="4"/>
  <c r="X74" i="4"/>
  <c r="X76" i="4" s="1"/>
  <c r="X37" i="4"/>
  <c r="X39" i="4" s="1"/>
  <c r="X41" i="4"/>
  <c r="Y61" i="4"/>
  <c r="X17" i="4"/>
  <c r="X19" i="4" s="1"/>
  <c r="X18" i="4"/>
  <c r="X22" i="4"/>
  <c r="AA53" i="4"/>
  <c r="AA54" i="4" s="1"/>
  <c r="AA60" i="4" s="1"/>
  <c r="Z59" i="4"/>
  <c r="Z55" i="4"/>
  <c r="Z57" i="4" s="1"/>
  <c r="Z56" i="4"/>
  <c r="Z15" i="4"/>
  <c r="Z16" i="4" s="1"/>
  <c r="Y21" i="4"/>
  <c r="Y58" i="4"/>
  <c r="Z72" i="4"/>
  <c r="Z73" i="4" s="1"/>
  <c r="Z79" i="4" s="1"/>
  <c r="Y78" i="4"/>
  <c r="Y91" i="4"/>
  <c r="Z34" i="4"/>
  <c r="Z35" i="4" s="1"/>
  <c r="Y40" i="4"/>
  <c r="Y36" i="4"/>
  <c r="Y38" i="4" s="1"/>
  <c r="W80" i="4"/>
  <c r="W89" i="4" l="1"/>
  <c r="V103" i="4"/>
  <c r="V104" i="4" s="1"/>
  <c r="X23" i="4"/>
  <c r="X95" i="4"/>
  <c r="X20" i="4"/>
  <c r="Z61" i="4"/>
  <c r="X42" i="4"/>
  <c r="Y41" i="4"/>
  <c r="Y37" i="4"/>
  <c r="Y39" i="4" s="1"/>
  <c r="Y74" i="4"/>
  <c r="Y76" i="4" s="1"/>
  <c r="Y75" i="4"/>
  <c r="AA72" i="4"/>
  <c r="AA73" i="4" s="1"/>
  <c r="AA79" i="4" s="1"/>
  <c r="Z91" i="4"/>
  <c r="Z78" i="4"/>
  <c r="AB53" i="4"/>
  <c r="AB54" i="4" s="1"/>
  <c r="AB60" i="4" s="1"/>
  <c r="AA59" i="4"/>
  <c r="AA56" i="4"/>
  <c r="AA34" i="4"/>
  <c r="AA35" i="4" s="1"/>
  <c r="Z40" i="4"/>
  <c r="Y17" i="4"/>
  <c r="Y19" i="4" s="1"/>
  <c r="Y18" i="4"/>
  <c r="Y22" i="4"/>
  <c r="Y23" i="4" s="1"/>
  <c r="AA15" i="4"/>
  <c r="AA16" i="4" s="1"/>
  <c r="Z21" i="4"/>
  <c r="Z17" i="4"/>
  <c r="Z19" i="4" s="1"/>
  <c r="X77" i="4"/>
  <c r="Y92" i="4"/>
  <c r="Z58" i="4"/>
  <c r="X94" i="4"/>
  <c r="W103" i="4" l="1"/>
  <c r="W104" i="4" s="1"/>
  <c r="Y95" i="4"/>
  <c r="X96" i="4"/>
  <c r="X102" i="4" s="1"/>
  <c r="X89" i="4"/>
  <c r="Y20" i="4"/>
  <c r="AB15" i="4"/>
  <c r="AB16" i="4" s="1"/>
  <c r="AA21" i="4"/>
  <c r="AA17" i="4"/>
  <c r="AA19" i="4" s="1"/>
  <c r="AB72" i="4"/>
  <c r="AB73" i="4" s="1"/>
  <c r="AB79" i="4" s="1"/>
  <c r="AA91" i="4"/>
  <c r="AA78" i="4"/>
  <c r="AA61" i="4"/>
  <c r="AA55" i="4"/>
  <c r="AA57" i="4" s="1"/>
  <c r="AA58" i="4" s="1"/>
  <c r="Z92" i="4"/>
  <c r="Y42" i="4"/>
  <c r="Y94" i="4"/>
  <c r="Y77" i="4"/>
  <c r="Y80" i="4"/>
  <c r="AC53" i="4"/>
  <c r="AC54" i="4" s="1"/>
  <c r="AC60" i="4" s="1"/>
  <c r="AB56" i="4"/>
  <c r="AB55" i="4"/>
  <c r="AB57" i="4" s="1"/>
  <c r="AB59" i="4"/>
  <c r="Z37" i="4"/>
  <c r="Z41" i="4"/>
  <c r="Z36" i="4"/>
  <c r="Z38" i="4" s="1"/>
  <c r="Z18" i="4"/>
  <c r="Z20" i="4" s="1"/>
  <c r="Z22" i="4"/>
  <c r="AB34" i="4"/>
  <c r="AB35" i="4" s="1"/>
  <c r="AA40" i="4"/>
  <c r="Z74" i="4"/>
  <c r="Z76" i="4" s="1"/>
  <c r="Z75" i="4"/>
  <c r="X103" i="4" l="1"/>
  <c r="X104" i="4" s="1"/>
  <c r="Y96" i="4"/>
  <c r="Y102" i="4" s="1"/>
  <c r="Z23" i="4"/>
  <c r="AB61" i="4"/>
  <c r="Z39" i="4"/>
  <c r="Z95" i="4"/>
  <c r="AC72" i="4"/>
  <c r="AC73" i="4" s="1"/>
  <c r="AC79" i="4" s="1"/>
  <c r="AB91" i="4"/>
  <c r="AB78" i="4"/>
  <c r="AC34" i="4"/>
  <c r="AC35" i="4" s="1"/>
  <c r="AB40" i="4"/>
  <c r="AC56" i="4"/>
  <c r="AC59" i="4"/>
  <c r="AC55" i="4"/>
  <c r="AC57" i="4" s="1"/>
  <c r="AA74" i="4"/>
  <c r="AA76" i="4" s="1"/>
  <c r="AA75" i="4"/>
  <c r="AB58" i="4"/>
  <c r="Z94" i="4"/>
  <c r="Z77" i="4"/>
  <c r="Y89" i="4"/>
  <c r="AA18" i="4"/>
  <c r="AA20" i="4" s="1"/>
  <c r="AA22" i="4"/>
  <c r="AA37" i="4"/>
  <c r="AA41" i="4"/>
  <c r="AA36" i="4"/>
  <c r="AA38" i="4" s="1"/>
  <c r="Z42" i="4"/>
  <c r="Z80" i="4"/>
  <c r="AA92" i="4"/>
  <c r="AC15" i="4"/>
  <c r="AC16" i="4" s="1"/>
  <c r="AB21" i="4"/>
  <c r="AB17" i="4"/>
  <c r="AB19" i="4" s="1"/>
  <c r="Y103" i="4" l="1"/>
  <c r="Y104" i="4" s="1"/>
  <c r="AA23" i="4"/>
  <c r="AA95" i="4"/>
  <c r="Z89" i="4"/>
  <c r="Z96" i="4"/>
  <c r="Z102" i="4" s="1"/>
  <c r="AB18" i="4"/>
  <c r="AB20" i="4" s="1"/>
  <c r="AB22" i="4"/>
  <c r="AB92" i="4"/>
  <c r="AA94" i="4"/>
  <c r="AA77" i="4"/>
  <c r="AA42" i="4"/>
  <c r="AA39" i="4"/>
  <c r="AC21" i="4"/>
  <c r="AC17" i="4"/>
  <c r="AC19" i="4" s="1"/>
  <c r="AB74" i="4"/>
  <c r="AB76" i="4" s="1"/>
  <c r="AB75" i="4"/>
  <c r="AC61" i="4"/>
  <c r="AC40" i="4"/>
  <c r="AC36" i="4"/>
  <c r="AC38" i="4" s="1"/>
  <c r="AB37" i="4"/>
  <c r="AB41" i="4"/>
  <c r="AB42" i="4" s="1"/>
  <c r="AC91" i="4"/>
  <c r="C4" i="5" s="1"/>
  <c r="AC78" i="4"/>
  <c r="AC58" i="4"/>
  <c r="AB36" i="4"/>
  <c r="AB38" i="4" s="1"/>
  <c r="AA80" i="4"/>
  <c r="AA96" i="4" l="1"/>
  <c r="AA102" i="4" s="1"/>
  <c r="Z103" i="4"/>
  <c r="Z104" i="4" s="1"/>
  <c r="AC92" i="4"/>
  <c r="C6" i="5" s="1"/>
  <c r="AB39" i="4"/>
  <c r="AB23" i="4"/>
  <c r="AB95" i="4"/>
  <c r="AB94" i="4"/>
  <c r="AB77" i="4"/>
  <c r="AB80" i="4"/>
  <c r="AC74" i="4"/>
  <c r="AC76" i="4" s="1"/>
  <c r="AC95" i="4" s="1"/>
  <c r="AC75" i="4"/>
  <c r="AA89" i="4"/>
  <c r="AC18" i="4"/>
  <c r="AC20" i="4" s="1"/>
  <c r="AC22" i="4"/>
  <c r="AC37" i="4"/>
  <c r="AC41" i="4"/>
  <c r="AA103" i="4" l="1"/>
  <c r="AA104" i="4" s="1"/>
  <c r="AB89" i="4"/>
  <c r="AB96" i="4"/>
  <c r="AB102" i="4" s="1"/>
  <c r="AC94" i="4"/>
  <c r="AC96" i="4" s="1"/>
  <c r="AC102" i="4" s="1"/>
  <c r="AC77" i="4"/>
  <c r="AC42" i="4"/>
  <c r="AC39" i="4"/>
  <c r="AC23" i="4"/>
  <c r="AC80" i="4"/>
  <c r="C11" i="5" l="1"/>
  <c r="C13" i="5"/>
  <c r="AB103" i="4"/>
  <c r="AB104" i="4" s="1"/>
  <c r="AC89" i="4"/>
  <c r="C8" i="5" s="1"/>
  <c r="C12" i="5"/>
  <c r="AC103" i="4"/>
  <c r="C14" i="5" s="1" a="1"/>
  <c r="AC104" i="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<sst xmlns="http://schemas.openxmlformats.org/spreadsheetml/2006/main" count="433" uniqueCount="228">
  <si>
    <t>Template Solar for Businesses</t>
  </si>
  <si>
    <t>West Suffolk and Portsmouth Councils both run projects in which the Councils install solar panels on business roofs and sell the electricity back to the business via PPA.</t>
  </si>
  <si>
    <t>This workbook explores the economic model for a version of these projects at the Hull and East Yorkshire Local/Combined Authorities. It should be largely replicable for other LAs/CAs.</t>
  </si>
  <si>
    <t>The example pilot phase in this workbook is based on 10 businesses signing up to the project - three small, three medium, three large, and one very large buildings.</t>
  </si>
  <si>
    <t>This workbook represents the 'Core Model'. Variations of this workbook should be developed to assess key sensitivities.</t>
  </si>
  <si>
    <t>This workbook is not designed to be a full and final financial model. A further workbook will be required at a later date  considering more detailed factors such as loan repayments and inflation.</t>
  </si>
  <si>
    <t>Input</t>
  </si>
  <si>
    <t>Unit</t>
  </si>
  <si>
    <t>Quantity</t>
  </si>
  <si>
    <t>Notes</t>
  </si>
  <si>
    <t>Number of small businesses</t>
  </si>
  <si>
    <t>Number</t>
  </si>
  <si>
    <t>User input for hypothetical bunch - small shops, cafes, single office buildings</t>
  </si>
  <si>
    <t>Number of medium businesses</t>
  </si>
  <si>
    <t>User input for hypothetical bunch - midsize shops, multi-unit offices, pubs</t>
  </si>
  <si>
    <t>Number of large businesses</t>
  </si>
  <si>
    <t>User input for hypothetical bunch - large retail centres, warehouses, manufacturing units</t>
  </si>
  <si>
    <t>Number of very large businesses</t>
  </si>
  <si>
    <t>User input for hypothetical bunch - larger warehouses, distribution centres, industrial facilities</t>
  </si>
  <si>
    <t>Small Business solar potential</t>
  </si>
  <si>
    <t>kWp</t>
  </si>
  <si>
    <t>Based on c.150 metres squared</t>
  </si>
  <si>
    <t>Medium Business solar potential</t>
  </si>
  <si>
    <t>Based on c.500 metres squared</t>
  </si>
  <si>
    <t>Large Business solar potential</t>
  </si>
  <si>
    <t>Based on c.1500 metres squared</t>
  </si>
  <si>
    <t>Very Large Business solar potential</t>
  </si>
  <si>
    <t>Based on c.4500 metres squared</t>
  </si>
  <si>
    <t>Annual solar output</t>
  </si>
  <si>
    <t>kWh/kWp</t>
  </si>
  <si>
    <t>Standard assumption within industry</t>
  </si>
  <si>
    <t>Annual solar degredation</t>
  </si>
  <si>
    <t>%</t>
  </si>
  <si>
    <t>Standard assumption within industry, Locogen use 0.4</t>
  </si>
  <si>
    <t>Solar panel cost</t>
  </si>
  <si>
    <t>£/kWp</t>
  </si>
  <si>
    <t>Inverter replacement cost</t>
  </si>
  <si>
    <t>Locogen model, to apply at year 13</t>
  </si>
  <si>
    <t>Small Business scaffold cost</t>
  </si>
  <si>
    <t>£/building</t>
  </si>
  <si>
    <t>Included in standard solar panel costs</t>
  </si>
  <si>
    <t>Medium Business scaffold cost</t>
  </si>
  <si>
    <t>Large Business scaffold cost</t>
  </si>
  <si>
    <t>Very Large Business scaffold cost</t>
  </si>
  <si>
    <t>Small Business structural survey cost</t>
  </si>
  <si>
    <t>ALtass Consulting refined</t>
  </si>
  <si>
    <t>Medium Business structural survey cost</t>
  </si>
  <si>
    <t>Large Business structural survey cost</t>
  </si>
  <si>
    <t>Very Large Business structural survey cost</t>
  </si>
  <si>
    <t>Operation and maintenance cost</t>
  </si>
  <si>
    <t>Advice from consultants (£30 from ALtass but this includes admin, £10 from Scene Connect); Portsmouth have this at £4.28</t>
  </si>
  <si>
    <t>Ongoing billing time</t>
  </si>
  <si>
    <t>hrs/yr</t>
  </si>
  <si>
    <t>2 hours per quarter</t>
  </si>
  <si>
    <t>Ongoing billing cost</t>
  </si>
  <si>
    <t>£/hr</t>
  </si>
  <si>
    <t xml:space="preserve">Roughly the Regional PM cost </t>
  </si>
  <si>
    <t>Ongoing management time</t>
  </si>
  <si>
    <t>8 hours per quarter</t>
  </si>
  <si>
    <t>Ongoing management cost</t>
  </si>
  <si>
    <t>Decommissioning cost</t>
  </si>
  <si>
    <t>Locogen model; large uncertainty on this. US National Renewable Energy Lab suggest $300-$440/kW</t>
  </si>
  <si>
    <t>Start-up management time</t>
  </si>
  <si>
    <t>8 hours per building, as per advice from HBEES project</t>
  </si>
  <si>
    <t>Start-up management cost</t>
  </si>
  <si>
    <t>£/yr</t>
  </si>
  <si>
    <t>Start-up finance time</t>
  </si>
  <si>
    <t>4 hours per building</t>
  </si>
  <si>
    <t>Start-up finance cost</t>
  </si>
  <si>
    <t>Start-up legal time</t>
  </si>
  <si>
    <t>Start-up legal cost</t>
  </si>
  <si>
    <t>Start-up procurement time</t>
  </si>
  <si>
    <t>Start-up procurement cost</t>
  </si>
  <si>
    <t>Business electricity cost</t>
  </si>
  <si>
    <t>p/kWh</t>
  </si>
  <si>
    <t>Typical costs July 2026</t>
  </si>
  <si>
    <t>Electricity sale discount</t>
  </si>
  <si>
    <t>Electricity use on-site</t>
  </si>
  <si>
    <t>60-70% range is normal</t>
  </si>
  <si>
    <t>Business occupancy</t>
  </si>
  <si>
    <t>Sale to grid price</t>
  </si>
  <si>
    <t>Carbon Factor</t>
  </si>
  <si>
    <t>tCO2e/kWh</t>
  </si>
  <si>
    <t>https://www.gov.uk/government/publications/greenhouse-gas-reporting-conversion-factors-2024</t>
  </si>
  <si>
    <t>Discount rate</t>
  </si>
  <si>
    <t>UK Green Book</t>
  </si>
  <si>
    <t>Year</t>
  </si>
  <si>
    <t>Calculation</t>
  </si>
  <si>
    <t>Ongoing Billing costs</t>
  </si>
  <si>
    <t>Ongoing billing time x ongoing billing cost</t>
  </si>
  <si>
    <t>£</t>
  </si>
  <si>
    <t>Ongoing Management costs</t>
  </si>
  <si>
    <t>Ongoing management time x ongoing management cost</t>
  </si>
  <si>
    <t>Start-up Management costs</t>
  </si>
  <si>
    <t>start-up management time x cost</t>
  </si>
  <si>
    <t>Start-up finance costs</t>
  </si>
  <si>
    <t>start-up finance time x cost</t>
  </si>
  <si>
    <t>Start-up legal costs</t>
  </si>
  <si>
    <t>start-up legal time x costs</t>
  </si>
  <si>
    <t>Start-up procurement costs</t>
  </si>
  <si>
    <t>start-up procurement time x costs</t>
  </si>
  <si>
    <t>Business electricity price</t>
  </si>
  <si>
    <t>Business Energy price</t>
  </si>
  <si>
    <t>£/kWh</t>
  </si>
  <si>
    <t>PPA charge</t>
  </si>
  <si>
    <t>Business Energy price * discount rate</t>
  </si>
  <si>
    <t>Small Businesses kWp Total</t>
  </si>
  <si>
    <t>Number of businesses x kWp per business</t>
  </si>
  <si>
    <t>Small Businesses kWh max</t>
  </si>
  <si>
    <t>Total kWp x kWh per kWp</t>
  </si>
  <si>
    <t>kWh</t>
  </si>
  <si>
    <t>Small Businesses kWh generated</t>
  </si>
  <si>
    <t>kWh max x degredation</t>
  </si>
  <si>
    <t>Small Businesses kWh on site</t>
  </si>
  <si>
    <t>kWh generated x on-site percentage x business occupancy</t>
  </si>
  <si>
    <t>Small Businesses kWh to grid</t>
  </si>
  <si>
    <t>kWh generated - on-site usage</t>
  </si>
  <si>
    <t>Small Businesses on-site income</t>
  </si>
  <si>
    <t>kWh on site x PPA charge</t>
  </si>
  <si>
    <t>Small Businesses grid income</t>
  </si>
  <si>
    <t>kWh to grid x grid price</t>
  </si>
  <si>
    <t>Small Businesses total income</t>
  </si>
  <si>
    <t>on-site income + grid income</t>
  </si>
  <si>
    <t>Small Businesses CO2e saving</t>
  </si>
  <si>
    <t>kWh generated x carbon factor</t>
  </si>
  <si>
    <t>tCO2e</t>
  </si>
  <si>
    <t>Small Businesses electricity counterfactual</t>
  </si>
  <si>
    <t>kWh on site x electricity price</t>
  </si>
  <si>
    <t>Small Businesses tenant savings</t>
  </si>
  <si>
    <t>Counterfactual - on-site income</t>
  </si>
  <si>
    <t>Small Businesses Solar Panel cost total</t>
  </si>
  <si>
    <t>Solar panel cost x kWp total</t>
  </si>
  <si>
    <t>Small Businesses inverter replacement cost total</t>
  </si>
  <si>
    <t>Inverter replacement cost x kWp total</t>
  </si>
  <si>
    <t>Small Businesses scaffolding cost</t>
  </si>
  <si>
    <t>scaffolding cost x kWp</t>
  </si>
  <si>
    <t>Small Businesses structural survey cost</t>
  </si>
  <si>
    <t>structural survey x number of businesses</t>
  </si>
  <si>
    <t>Small Businesses O&amp;M costs</t>
  </si>
  <si>
    <t>O&amp;M costs x kWp</t>
  </si>
  <si>
    <t>Small Businesses decommissioning cost</t>
  </si>
  <si>
    <t>decommissioning cost x kWp</t>
  </si>
  <si>
    <t>Small Businesses total cost</t>
  </si>
  <si>
    <t>Solar panel + scaffold + survey + O&amp;M + decomissioning</t>
  </si>
  <si>
    <t>Medium Businesses kWp Total</t>
  </si>
  <si>
    <t>Medium Businesses kWh max</t>
  </si>
  <si>
    <t>Medium Businesses kW/h generated</t>
  </si>
  <si>
    <t>Medium Businesses kW/h on site</t>
  </si>
  <si>
    <t>Medium Businesses kW/h to grid</t>
  </si>
  <si>
    <t>Medium Businesses on-site income</t>
  </si>
  <si>
    <t>Medium Businesses grid income</t>
  </si>
  <si>
    <t>Medium Businesses total income</t>
  </si>
  <si>
    <t>Medium Businesses CO2e saving</t>
  </si>
  <si>
    <t>Medium Businesses electricity counterfactual</t>
  </si>
  <si>
    <t>Medium Businesses tenant savings</t>
  </si>
  <si>
    <t>Medium Businesses Solar Panel cost total</t>
  </si>
  <si>
    <t>Medium Businesses inverter replacement cost total</t>
  </si>
  <si>
    <t>solar panel cost total x inverter % value</t>
  </si>
  <si>
    <t>Medium Businesses scaffolding cost</t>
  </si>
  <si>
    <t>Medium Businesses structural survey cost</t>
  </si>
  <si>
    <t>Medium Businesses O&amp;M costs</t>
  </si>
  <si>
    <t>Medium Businesses decommissioning cost</t>
  </si>
  <si>
    <t>Medium Businesses total cost</t>
  </si>
  <si>
    <t>Large Businesses kWp Total</t>
  </si>
  <si>
    <t>Large Businesses kWh max</t>
  </si>
  <si>
    <t>Large Businesses kW/h generated</t>
  </si>
  <si>
    <t>Large Businesses kW/h on site</t>
  </si>
  <si>
    <t>Large Businesses kW/h to grid</t>
  </si>
  <si>
    <t>Large Businesses on-site income</t>
  </si>
  <si>
    <t>Large Businesses grid income</t>
  </si>
  <si>
    <t>Large Businesses total income</t>
  </si>
  <si>
    <t>Large Businesses CO2e saving</t>
  </si>
  <si>
    <t>Large Businesses electricity counterfactual</t>
  </si>
  <si>
    <t>Large Businesses tenant savings</t>
  </si>
  <si>
    <t>Large Businesses Solar Panel cost total</t>
  </si>
  <si>
    <t>Large Businesses inverter replacement cost total</t>
  </si>
  <si>
    <t>Large Businesses scaffolding cost</t>
  </si>
  <si>
    <t>Large Businesses structural survey cost</t>
  </si>
  <si>
    <t>Large Businesses O&amp;M costs</t>
  </si>
  <si>
    <t>Large Businesses decommissioning cost</t>
  </si>
  <si>
    <t>Large Businesses total cost</t>
  </si>
  <si>
    <t>Very Large Businesses kWp Total</t>
  </si>
  <si>
    <t>Very Large Businesses kWh max</t>
  </si>
  <si>
    <t>Very Large Businesses kW/h generated</t>
  </si>
  <si>
    <t>Very Large Businesses kW/h on site</t>
  </si>
  <si>
    <t>Very Large Businesses kW/h to grid</t>
  </si>
  <si>
    <t>Very Large Businesses on-site income</t>
  </si>
  <si>
    <t>Very Large Businesses grid income</t>
  </si>
  <si>
    <t>Very Large Businesses total income</t>
  </si>
  <si>
    <t>Very Large Businesses CO2e saving</t>
  </si>
  <si>
    <t>Very Large Businesses electricity counterfactual</t>
  </si>
  <si>
    <t>Very Large Businesses tenant savings</t>
  </si>
  <si>
    <t>Very Large Businesses Solar Panel cost total</t>
  </si>
  <si>
    <t>Very Large Businesses inverter replacement cost total</t>
  </si>
  <si>
    <t>Very Large Businesses scaffolding cost</t>
  </si>
  <si>
    <t>Very Large Businesses structural survey cost</t>
  </si>
  <si>
    <t>Very Large Businesses O&amp;M costs</t>
  </si>
  <si>
    <t>Very Large Businesses decommissioning cost</t>
  </si>
  <si>
    <t>Very Large Businesses total cost</t>
  </si>
  <si>
    <t>Total tenant savings</t>
  </si>
  <si>
    <t>sum all</t>
  </si>
  <si>
    <t>Total kWh generated</t>
  </si>
  <si>
    <t>Total tCO2e savings</t>
  </si>
  <si>
    <t>Total PPA income</t>
  </si>
  <si>
    <t>Total Grid Income</t>
  </si>
  <si>
    <t>GRAND TOTAL income</t>
  </si>
  <si>
    <t>Total Management costs</t>
  </si>
  <si>
    <t>Total System costs</t>
  </si>
  <si>
    <t>GRAND TOTAL costs</t>
  </si>
  <si>
    <t>Annual Cashflow</t>
  </si>
  <si>
    <t>income - costs</t>
  </si>
  <si>
    <t>Accrued Cashflow</t>
  </si>
  <si>
    <t>Net Spend cumulative</t>
  </si>
  <si>
    <t>Payback Fraction</t>
  </si>
  <si>
    <t>Fraction Row</t>
  </si>
  <si>
    <t>Installed capacity</t>
  </si>
  <si>
    <t>Year 1 generation</t>
  </si>
  <si>
    <t>Total generation</t>
  </si>
  <si>
    <t>Year 1 carbon saving</t>
  </si>
  <si>
    <t>Total carbon saving</t>
  </si>
  <si>
    <t>Year 1 tenant saving</t>
  </si>
  <si>
    <t>Total tenant saving</t>
  </si>
  <si>
    <t>Year 0 cost</t>
  </si>
  <si>
    <t>Year 1 return</t>
  </si>
  <si>
    <t>25 year IRR</t>
  </si>
  <si>
    <t>25 year net profit</t>
  </si>
  <si>
    <t>Net present value</t>
  </si>
  <si>
    <t>Payback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</si>
</sst>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1">
    <xf numFmtId="0" fontId="0" fillId="0" borderId="0" xfId="0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1" fillId="5" borderId="1" xfId="0" applyFont="1" applyFill="1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9" borderId="1" xfId="0" applyFill="1" applyBorder="1"/>
    <xf numFmtId="0" fontId="0" fillId="10" borderId="1" xfId="0" applyFill="1" applyBorder="1"/>
    <xf numFmtId="0" fontId="0" fillId="11" borderId="1" xfId="0" applyFill="1" applyBorder="1"/>
    <xf numFmtId="0" fontId="0" fillId="12" borderId="1" xfId="0" applyFill="1" applyBorder="1"/>
    <xf numFmtId="0" fontId="0" fillId="13" borderId="1" xfId="0" applyFill="1" applyBorder="1"/>
    <xf numFmtId="0" fontId="0" fillId="14" borderId="1" xfId="0" applyFill="1" applyBorder="1"/>
    <xf numFmtId="0" fontId="0" fillId="15" borderId="1" xfId="0" applyFill="1" applyBorder="1"/>
    <xf numFmtId="0" fontId="0" fillId="16" borderId="1" xfId="0" applyFill="1" applyBorder="1"/>
    <xf numFmtId="0" fontId="0" fillId="17" borderId="1" xfId="0" applyFill="1" applyBorder="1"/>
    <xf numFmtId="0" fontId="0" fillId="18" borderId="1" xfId="0" applyFill="1" applyBorder="1"/>
    <xf numFmtId="0" fontId="0" fillId="19" borderId="1" xfId="0" applyFill="1" applyBorder="1"/>
    <xf numFmtId="0" fontId="0" fillId="20" borderId="1" xfId="0" applyFill="1" applyBorder="1"/>
    <xf numFmtId="0" fontId="0" fillId="21" borderId="1" xfId="0" applyFill="1" applyBorder="1"/>
    <xf numFmtId="0" fontId="0" fillId="0" borderId="1" xfId="0" applyBorder="1"/>
    <xf numFmtId="0" fontId="0" fillId="22" borderId="1" xfId="0" applyFill="1" applyBorder="1"/>
    <xf numFmtId="0" fontId="0" fillId="23" borderId="1" xfId="0" applyFill="1" applyBorder="1"/>
    <xf numFmtId="0" fontId="0" fillId="22" borderId="0" xfId="0" applyFill="1"/>
    <xf numFmtId="0" fontId="0" fillId="24" borderId="1" xfId="0" applyFill="1" applyBorder="1"/>
    <xf numFmtId="0" fontId="4" fillId="21" borderId="1" xfId="1" applyFill="1" applyBorder="1"/>
    <xf numFmtId="4" fontId="0" fillId="0" borderId="1" xfId="0" applyNumberFormat="1" applyBorder="1"/>
    <xf numFmtId="164" fontId="0" fillId="0" borderId="1" xfId="0" applyNumberFormat="1" applyBorder="1"/>
    <xf numFmtId="16" fontId="0" fillId="0" borderId="0" xfId="0" applyNumberFormat="1"/>
    <xf numFmtId="4" fontId="0" fillId="8" borderId="1" xfId="0" applyNumberFormat="1" applyFill="1" applyBorder="1"/>
    <xf numFmtId="4" fontId="0" fillId="9" borderId="1" xfId="0" applyNumberFormat="1" applyFill="1" applyBorder="1"/>
    <xf numFmtId="4" fontId="0" fillId="10" borderId="1" xfId="0" applyNumberFormat="1" applyFill="1" applyBorder="1"/>
    <xf numFmtId="4" fontId="0" fillId="11" borderId="1" xfId="0" applyNumberFormat="1" applyFill="1" applyBorder="1"/>
    <xf numFmtId="4" fontId="0" fillId="20" borderId="1" xfId="0" applyNumberFormat="1" applyFill="1" applyBorder="1"/>
    <xf numFmtId="4" fontId="0" fillId="12" borderId="1" xfId="0" applyNumberFormat="1" applyFill="1" applyBorder="1"/>
    <xf numFmtId="4" fontId="0" fillId="13" borderId="1" xfId="0" applyNumberFormat="1" applyFill="1" applyBorder="1"/>
    <xf numFmtId="4" fontId="0" fillId="14" borderId="1" xfId="0" applyNumberFormat="1" applyFill="1" applyBorder="1"/>
    <xf numFmtId="4" fontId="0" fillId="22" borderId="1" xfId="0" applyNumberFormat="1" applyFill="1" applyBorder="1"/>
    <xf numFmtId="4" fontId="0" fillId="15" borderId="1" xfId="0" applyNumberFormat="1" applyFill="1" applyBorder="1"/>
    <xf numFmtId="4" fontId="0" fillId="23" borderId="1" xfId="0" applyNumberFormat="1" applyFill="1" applyBorder="1"/>
    <xf numFmtId="4" fontId="0" fillId="16" borderId="1" xfId="0" applyNumberFormat="1" applyFill="1" applyBorder="1"/>
    <xf numFmtId="4" fontId="0" fillId="17" borderId="1" xfId="0" applyNumberFormat="1" applyFill="1" applyBorder="1"/>
    <xf numFmtId="4" fontId="0" fillId="18" borderId="1" xfId="0" applyNumberFormat="1" applyFill="1" applyBorder="1"/>
    <xf numFmtId="4" fontId="0" fillId="19" borderId="1" xfId="0" applyNumberFormat="1" applyFill="1" applyBorder="1"/>
    <xf numFmtId="4" fontId="0" fillId="22" borderId="0" xfId="0" applyNumberFormat="1" applyFill="1"/>
    <xf numFmtId="4" fontId="0" fillId="24" borderId="1" xfId="0" applyNumberFormat="1" applyFill="1" applyBorder="1"/>
    <xf numFmtId="0" fontId="0" fillId="0" borderId="2" xfId="0" applyBorder="1"/>
    <xf numFmtId="165" fontId="0" fillId="0" borderId="1" xfId="0" applyNumberFormat="1" applyBorder="1"/>
  </cellXfs>
  <cellStyles count="2">
    <cellStyle name="Hyperlink" xfId="1" builtinId="8"/>
    <cellStyle name="Normal" xfId="0" builtinId="0"/>
  </cellStyles>
  <dxfs count="3">
    <dxf>
      <font>
        <color rgb="FF00B050"/>
      </font>
    </dxf>
    <dxf>
      <font>
        <color rgb="FFFF0000"/>
      </font>
    </dxf>
    <dxf>
      <font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Core Model - Cashflow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Annual Cashflow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Calculations!$D$102:$AC$102</c:f>
              <c:numCache>
                <c:formatCode>#,##0.00</c:formatCode>
                <c:ptCount val="26"/>
                <c:pt idx="0">
                  <c:v>-673850</c:v>
                </c:pt>
                <c:pt idx="1">
                  <c:v>67596.25</c:v>
                </c:pt>
                <c:pt idx="2">
                  <c:v>67219.168749999997</c:v>
                </c:pt>
                <c:pt idx="3">
                  <c:v>66843.972906250012</c:v>
                </c:pt>
                <c:pt idx="4">
                  <c:v>66470.653041718746</c:v>
                </c:pt>
                <c:pt idx="5">
                  <c:v>66099.199776510155</c:v>
                </c:pt>
                <c:pt idx="6">
                  <c:v>65729.603777627606</c:v>
                </c:pt>
                <c:pt idx="7">
                  <c:v>65361.855758739461</c:v>
                </c:pt>
                <c:pt idx="8">
                  <c:v>64995.946479945778</c:v>
                </c:pt>
                <c:pt idx="9">
                  <c:v>64631.866747546039</c:v>
                </c:pt>
                <c:pt idx="10">
                  <c:v>64269.607413808306</c:v>
                </c:pt>
                <c:pt idx="11">
                  <c:v>63909.159376739262</c:v>
                </c:pt>
                <c:pt idx="12">
                  <c:v>63550.513579855571</c:v>
                </c:pt>
                <c:pt idx="13">
                  <c:v>43693.661011956283</c:v>
                </c:pt>
                <c:pt idx="14">
                  <c:v>62838.592706896496</c:v>
                </c:pt>
                <c:pt idx="15">
                  <c:v>62485.299743362018</c:v>
                </c:pt>
                <c:pt idx="16">
                  <c:v>62133.773244645214</c:v>
                </c:pt>
                <c:pt idx="17">
                  <c:v>61784.004378421989</c:v>
                </c:pt>
                <c:pt idx="18">
                  <c:v>61435.984356529894</c:v>
                </c:pt>
                <c:pt idx="19">
                  <c:v>61089.70443474724</c:v>
                </c:pt>
                <c:pt idx="20">
                  <c:v>60745.155912573493</c:v>
                </c:pt>
                <c:pt idx="21">
                  <c:v>60402.330133010633</c:v>
                </c:pt>
                <c:pt idx="22">
                  <c:v>60061.218482345575</c:v>
                </c:pt>
                <c:pt idx="23">
                  <c:v>59721.812389933853</c:v>
                </c:pt>
                <c:pt idx="24">
                  <c:v>59384.103327984179</c:v>
                </c:pt>
                <c:pt idx="25">
                  <c:v>-135951.91718865576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3D-48FD-95FD-598C839C65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41958520"/>
        <c:axId val="445024208"/>
      </c:barChart>
      <c:lineChart>
        <c:grouping val="standard"/>
        <c:varyColors val="0"/>
        <c:ser>
          <c:idx val="1"/>
          <c:order val="1"/>
          <c:tx>
            <c:v>Total Cashflow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Calculations!$D$2:$AC$2</c:f>
              <c:numCache>
                <c:formatCode>General</c:formatCode>
                <c:ptCount val="2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</c:numCache>
            </c:numRef>
          </c:cat>
          <c:val>
            <c:numRef>
              <c:f>Calculations!$D$103:$AC$103</c:f>
              <c:numCache>
                <c:formatCode>#,##0.00</c:formatCode>
                <c:ptCount val="26"/>
                <c:pt idx="0">
                  <c:v>-673850</c:v>
                </c:pt>
                <c:pt idx="1">
                  <c:v>-606253.75</c:v>
                </c:pt>
                <c:pt idx="2">
                  <c:v>-539034.58125000005</c:v>
                </c:pt>
                <c:pt idx="3">
                  <c:v>-472190.60834375001</c:v>
                </c:pt>
                <c:pt idx="4">
                  <c:v>-405719.95530203125</c:v>
                </c:pt>
                <c:pt idx="5">
                  <c:v>-339620.75552552112</c:v>
                </c:pt>
                <c:pt idx="6">
                  <c:v>-273891.15174789354</c:v>
                </c:pt>
                <c:pt idx="7">
                  <c:v>-208529.29598915408</c:v>
                </c:pt>
                <c:pt idx="8">
                  <c:v>-143533.34950920829</c:v>
                </c:pt>
                <c:pt idx="9">
                  <c:v>-78901.48276166225</c:v>
                </c:pt>
                <c:pt idx="10">
                  <c:v>-14631.875347853944</c:v>
                </c:pt>
                <c:pt idx="11">
                  <c:v>49277.284028885319</c:v>
                </c:pt>
                <c:pt idx="12">
                  <c:v>112827.79760874089</c:v>
                </c:pt>
                <c:pt idx="13">
                  <c:v>156521.45862069717</c:v>
                </c:pt>
                <c:pt idx="14">
                  <c:v>219360.05132759368</c:v>
                </c:pt>
                <c:pt idx="15">
                  <c:v>281845.35107095569</c:v>
                </c:pt>
                <c:pt idx="16">
                  <c:v>343979.1243156009</c:v>
                </c:pt>
                <c:pt idx="17">
                  <c:v>405763.12869402289</c:v>
                </c:pt>
                <c:pt idx="18">
                  <c:v>467199.11305055278</c:v>
                </c:pt>
                <c:pt idx="19">
                  <c:v>528288.81748530001</c:v>
                </c:pt>
                <c:pt idx="20">
                  <c:v>589033.97339787346</c:v>
                </c:pt>
                <c:pt idx="21">
                  <c:v>649436.30353088409</c:v>
                </c:pt>
                <c:pt idx="22">
                  <c:v>709497.52201322967</c:v>
                </c:pt>
                <c:pt idx="23">
                  <c:v>769219.33440316352</c:v>
                </c:pt>
                <c:pt idx="24">
                  <c:v>828603.43773114774</c:v>
                </c:pt>
                <c:pt idx="25">
                  <c:v>692651.52054249193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3D-48FD-95FD-598C839C65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1958520"/>
        <c:axId val="445024208"/>
      </c:lineChart>
      <c:catAx>
        <c:axId val="84195852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5024208"/>
        <c:crosses val="autoZero"/>
        <c:auto val="1"/>
        <c:lblAlgn val="ctr"/>
        <c:lblOffset val="100"/>
        <c:noMultiLvlLbl val="0"/>
      </c:catAx>
      <c:valAx>
        <c:axId val="445024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£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419585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6479</xdr:colOff>
      <xdr:row>1</xdr:row>
      <xdr:rowOff>6479</xdr:rowOff>
    </xdr:from>
    <xdr:to>
      <xdr:col>11</xdr:col>
      <xdr:colOff>311279</xdr:colOff>
      <xdr:row>15</xdr:row>
      <xdr:rowOff>171579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68841A5-E180-4A5A-B09A-8F1546B748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ov.uk/government/publications/greenhouse-gas-reporting-conversion-factors-2024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9A159-573C-4F27-B725-E1C9173ED2D0}">
  <dimension ref="A1:A7"/>
  <sheetViews>
    <sheetView workbookViewId="0">
      <selection activeCell="A2" sqref="A2"/>
    </sheetView>
  </sheetViews>
  <sheetFormatPr defaultRowHeight="15"/>
  <cols>
    <col min="1" max="1" width="78.5703125" style="2" customWidth="1"/>
  </cols>
  <sheetData>
    <row r="1" spans="1:1">
      <c r="A1" s="1" t="s">
        <v>0</v>
      </c>
    </row>
    <row r="3" spans="1:1" ht="30">
      <c r="A3" s="2" t="s">
        <v>1</v>
      </c>
    </row>
    <row r="4" spans="1:1" ht="45">
      <c r="A4" s="2" t="s">
        <v>2</v>
      </c>
    </row>
    <row r="5" spans="1:1" ht="30">
      <c r="A5" s="2" t="s">
        <v>3</v>
      </c>
    </row>
    <row r="6" spans="1:1" ht="30.75">
      <c r="A6" s="2" t="s">
        <v>4</v>
      </c>
    </row>
    <row r="7" spans="1:1" ht="45.75">
      <c r="A7" s="2" t="s">
        <v>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626FB-D2C2-4A3E-9EA5-976F632CCEA8}">
  <dimension ref="A1:L42"/>
  <sheetViews>
    <sheetView tabSelected="1" zoomScale="94" workbookViewId="0">
      <selection activeCell="D37" sqref="D37"/>
    </sheetView>
  </sheetViews>
  <sheetFormatPr defaultRowHeight="15"/>
  <cols>
    <col min="1" max="1" width="35.85546875" bestFit="1" customWidth="1"/>
    <col min="2" max="2" width="10.5703125" bestFit="1" customWidth="1"/>
    <col min="4" max="4" width="109.140625" customWidth="1"/>
  </cols>
  <sheetData>
    <row r="1" spans="1:4">
      <c r="A1" s="3" t="s">
        <v>6</v>
      </c>
      <c r="B1" s="3" t="s">
        <v>7</v>
      </c>
      <c r="C1" s="3" t="s">
        <v>8</v>
      </c>
      <c r="D1" s="3" t="s">
        <v>9</v>
      </c>
    </row>
    <row r="2" spans="1:4">
      <c r="A2" s="8" t="s">
        <v>10</v>
      </c>
      <c r="B2" s="8" t="s">
        <v>11</v>
      </c>
      <c r="C2" s="8">
        <v>3</v>
      </c>
      <c r="D2" s="8" t="s">
        <v>12</v>
      </c>
    </row>
    <row r="3" spans="1:4">
      <c r="A3" s="8" t="s">
        <v>13</v>
      </c>
      <c r="B3" s="8" t="s">
        <v>11</v>
      </c>
      <c r="C3" s="8">
        <v>3</v>
      </c>
      <c r="D3" s="8" t="s">
        <v>14</v>
      </c>
    </row>
    <row r="4" spans="1:4">
      <c r="A4" s="8" t="s">
        <v>15</v>
      </c>
      <c r="B4" s="8" t="s">
        <v>11</v>
      </c>
      <c r="C4" s="8">
        <v>3</v>
      </c>
      <c r="D4" s="8" t="s">
        <v>16</v>
      </c>
    </row>
    <row r="5" spans="1:4">
      <c r="A5" s="8" t="s">
        <v>17</v>
      </c>
      <c r="B5" s="8" t="s">
        <v>11</v>
      </c>
      <c r="C5" s="8">
        <v>1</v>
      </c>
      <c r="D5" s="8" t="s">
        <v>18</v>
      </c>
    </row>
    <row r="6" spans="1:4">
      <c r="A6" s="4" t="s">
        <v>19</v>
      </c>
      <c r="B6" s="4" t="s">
        <v>20</v>
      </c>
      <c r="C6" s="4">
        <v>15</v>
      </c>
      <c r="D6" s="4" t="s">
        <v>21</v>
      </c>
    </row>
    <row r="7" spans="1:4">
      <c r="A7" s="4" t="s">
        <v>22</v>
      </c>
      <c r="B7" s="4" t="s">
        <v>20</v>
      </c>
      <c r="C7" s="4">
        <v>35</v>
      </c>
      <c r="D7" s="4" t="s">
        <v>23</v>
      </c>
    </row>
    <row r="8" spans="1:4">
      <c r="A8" s="4" t="s">
        <v>24</v>
      </c>
      <c r="B8" s="4" t="s">
        <v>20</v>
      </c>
      <c r="C8" s="4">
        <v>100</v>
      </c>
      <c r="D8" s="4" t="s">
        <v>25</v>
      </c>
    </row>
    <row r="9" spans="1:4">
      <c r="A9" s="4" t="s">
        <v>26</v>
      </c>
      <c r="B9" s="4" t="s">
        <v>20</v>
      </c>
      <c r="C9" s="4">
        <v>200</v>
      </c>
      <c r="D9" s="4" t="s">
        <v>27</v>
      </c>
    </row>
    <row r="10" spans="1:4">
      <c r="A10" s="4" t="s">
        <v>28</v>
      </c>
      <c r="B10" s="4" t="s">
        <v>29</v>
      </c>
      <c r="C10" s="4">
        <v>850</v>
      </c>
      <c r="D10" s="4" t="s">
        <v>30</v>
      </c>
    </row>
    <row r="11" spans="1:4">
      <c r="A11" s="4" t="s">
        <v>31</v>
      </c>
      <c r="B11" s="4" t="s">
        <v>32</v>
      </c>
      <c r="C11" s="4">
        <v>0.5</v>
      </c>
      <c r="D11" s="4" t="s">
        <v>33</v>
      </c>
    </row>
    <row r="12" spans="1:4">
      <c r="A12" s="5" t="s">
        <v>34</v>
      </c>
      <c r="B12" s="5" t="s">
        <v>35</v>
      </c>
      <c r="C12" s="5">
        <v>1000</v>
      </c>
      <c r="D12" s="5" t="s">
        <v>30</v>
      </c>
    </row>
    <row r="13" spans="1:4">
      <c r="A13" s="5" t="s">
        <v>36</v>
      </c>
      <c r="B13" s="5" t="s">
        <v>35</v>
      </c>
      <c r="C13" s="5">
        <v>30</v>
      </c>
      <c r="D13" s="5" t="s">
        <v>37</v>
      </c>
    </row>
    <row r="14" spans="1:4" hidden="1">
      <c r="A14" s="5" t="s">
        <v>38</v>
      </c>
      <c r="B14" s="5" t="s">
        <v>39</v>
      </c>
      <c r="C14" s="5">
        <v>0</v>
      </c>
      <c r="D14" s="5" t="s">
        <v>40</v>
      </c>
    </row>
    <row r="15" spans="1:4" hidden="1">
      <c r="A15" s="5" t="s">
        <v>41</v>
      </c>
      <c r="B15" s="5" t="s">
        <v>39</v>
      </c>
      <c r="C15" s="5">
        <v>0</v>
      </c>
      <c r="D15" s="5" t="s">
        <v>40</v>
      </c>
    </row>
    <row r="16" spans="1:4" hidden="1">
      <c r="A16" s="5" t="s">
        <v>42</v>
      </c>
      <c r="B16" s="5" t="s">
        <v>39</v>
      </c>
      <c r="C16" s="5">
        <v>0</v>
      </c>
      <c r="D16" s="5" t="s">
        <v>40</v>
      </c>
    </row>
    <row r="17" spans="1:5" hidden="1">
      <c r="A17" s="5" t="s">
        <v>43</v>
      </c>
      <c r="B17" s="5" t="s">
        <v>39</v>
      </c>
      <c r="C17" s="5">
        <v>0</v>
      </c>
      <c r="D17" s="5" t="s">
        <v>40</v>
      </c>
    </row>
    <row r="18" spans="1:5">
      <c r="A18" s="5" t="s">
        <v>44</v>
      </c>
      <c r="B18" s="5" t="s">
        <v>39</v>
      </c>
      <c r="C18" s="5">
        <v>1000</v>
      </c>
      <c r="D18" s="5" t="s">
        <v>45</v>
      </c>
      <c r="E18" s="49"/>
    </row>
    <row r="19" spans="1:5">
      <c r="A19" s="5" t="s">
        <v>46</v>
      </c>
      <c r="B19" s="5" t="s">
        <v>39</v>
      </c>
      <c r="C19" s="5">
        <v>1750</v>
      </c>
      <c r="D19" s="5" t="s">
        <v>45</v>
      </c>
      <c r="E19" s="49"/>
    </row>
    <row r="20" spans="1:5">
      <c r="A20" s="5" t="s">
        <v>47</v>
      </c>
      <c r="B20" s="5" t="s">
        <v>39</v>
      </c>
      <c r="C20" s="5">
        <v>3000</v>
      </c>
      <c r="D20" s="5" t="s">
        <v>45</v>
      </c>
      <c r="E20" s="49"/>
    </row>
    <row r="21" spans="1:5">
      <c r="A21" s="5" t="s">
        <v>48</v>
      </c>
      <c r="B21" s="5" t="s">
        <v>39</v>
      </c>
      <c r="C21" s="5">
        <v>6000</v>
      </c>
      <c r="D21" s="5" t="s">
        <v>45</v>
      </c>
      <c r="E21" s="49"/>
    </row>
    <row r="22" spans="1:5">
      <c r="A22" s="5" t="s">
        <v>49</v>
      </c>
      <c r="B22" s="5" t="s">
        <v>35</v>
      </c>
      <c r="C22" s="5">
        <v>10</v>
      </c>
      <c r="D22" s="5" t="s">
        <v>50</v>
      </c>
    </row>
    <row r="23" spans="1:5">
      <c r="A23" s="5" t="s">
        <v>51</v>
      </c>
      <c r="B23" s="5" t="s">
        <v>52</v>
      </c>
      <c r="C23" s="5">
        <v>8</v>
      </c>
      <c r="D23" s="5" t="s">
        <v>53</v>
      </c>
    </row>
    <row r="24" spans="1:5">
      <c r="A24" s="5" t="s">
        <v>54</v>
      </c>
      <c r="B24" s="5" t="s">
        <v>55</v>
      </c>
      <c r="C24" s="5">
        <v>33</v>
      </c>
      <c r="D24" s="5" t="s">
        <v>56</v>
      </c>
    </row>
    <row r="25" spans="1:5">
      <c r="A25" s="5" t="s">
        <v>57</v>
      </c>
      <c r="B25" s="5" t="s">
        <v>52</v>
      </c>
      <c r="C25" s="5">
        <v>32</v>
      </c>
      <c r="D25" s="5" t="s">
        <v>58</v>
      </c>
    </row>
    <row r="26" spans="1:5">
      <c r="A26" s="5" t="s">
        <v>59</v>
      </c>
      <c r="B26" s="5" t="s">
        <v>55</v>
      </c>
      <c r="C26" s="5">
        <v>33</v>
      </c>
      <c r="D26" s="5" t="s">
        <v>56</v>
      </c>
    </row>
    <row r="27" spans="1:5">
      <c r="A27" s="5" t="s">
        <v>60</v>
      </c>
      <c r="B27" s="5" t="s">
        <v>35</v>
      </c>
      <c r="C27" s="5">
        <v>300</v>
      </c>
      <c r="D27" s="5" t="s">
        <v>61</v>
      </c>
    </row>
    <row r="28" spans="1:5">
      <c r="A28" s="5" t="s">
        <v>62</v>
      </c>
      <c r="B28" s="5" t="s">
        <v>52</v>
      </c>
      <c r="C28" s="5">
        <v>80</v>
      </c>
      <c r="D28" s="5" t="s">
        <v>63</v>
      </c>
    </row>
    <row r="29" spans="1:5">
      <c r="A29" s="5" t="s">
        <v>64</v>
      </c>
      <c r="B29" s="5" t="s">
        <v>65</v>
      </c>
      <c r="C29" s="5">
        <v>33</v>
      </c>
      <c r="D29" s="5" t="s">
        <v>56</v>
      </c>
    </row>
    <row r="30" spans="1:5">
      <c r="A30" s="5" t="s">
        <v>66</v>
      </c>
      <c r="B30" s="5" t="s">
        <v>52</v>
      </c>
      <c r="C30" s="5">
        <v>40</v>
      </c>
      <c r="D30" s="5" t="s">
        <v>67</v>
      </c>
    </row>
    <row r="31" spans="1:5">
      <c r="A31" s="5" t="s">
        <v>68</v>
      </c>
      <c r="B31" s="5" t="s">
        <v>65</v>
      </c>
      <c r="C31" s="5">
        <v>33</v>
      </c>
      <c r="D31" s="5" t="s">
        <v>56</v>
      </c>
    </row>
    <row r="32" spans="1:5">
      <c r="A32" s="5" t="s">
        <v>69</v>
      </c>
      <c r="B32" s="5" t="s">
        <v>52</v>
      </c>
      <c r="C32" s="5">
        <v>40</v>
      </c>
      <c r="D32" s="5" t="s">
        <v>67</v>
      </c>
    </row>
    <row r="33" spans="1:12">
      <c r="A33" s="5" t="s">
        <v>70</v>
      </c>
      <c r="B33" s="5" t="s">
        <v>65</v>
      </c>
      <c r="C33" s="5">
        <v>33</v>
      </c>
      <c r="D33" s="5" t="s">
        <v>56</v>
      </c>
    </row>
    <row r="34" spans="1:12">
      <c r="A34" s="5" t="s">
        <v>71</v>
      </c>
      <c r="B34" s="5" t="s">
        <v>52</v>
      </c>
      <c r="C34" s="5">
        <v>40</v>
      </c>
      <c r="D34" s="5" t="s">
        <v>67</v>
      </c>
    </row>
    <row r="35" spans="1:12">
      <c r="A35" s="5" t="s">
        <v>72</v>
      </c>
      <c r="B35" s="5" t="s">
        <v>65</v>
      </c>
      <c r="C35" s="5">
        <v>33</v>
      </c>
      <c r="D35" s="5" t="s">
        <v>56</v>
      </c>
      <c r="L35" s="31"/>
    </row>
    <row r="36" spans="1:12">
      <c r="A36" s="6" t="s">
        <v>73</v>
      </c>
      <c r="B36" s="6" t="s">
        <v>74</v>
      </c>
      <c r="C36" s="6">
        <v>25</v>
      </c>
      <c r="D36" s="6" t="s">
        <v>75</v>
      </c>
    </row>
    <row r="37" spans="1:12">
      <c r="A37" s="6" t="s">
        <v>76</v>
      </c>
      <c r="B37" s="6" t="s">
        <v>32</v>
      </c>
      <c r="C37" s="6">
        <v>25</v>
      </c>
      <c r="D37" s="6"/>
    </row>
    <row r="38" spans="1:12">
      <c r="A38" s="6" t="s">
        <v>77</v>
      </c>
      <c r="B38" s="6" t="s">
        <v>32</v>
      </c>
      <c r="C38" s="6">
        <v>60</v>
      </c>
      <c r="D38" s="6" t="s">
        <v>78</v>
      </c>
    </row>
    <row r="39" spans="1:12">
      <c r="A39" s="6" t="s">
        <v>79</v>
      </c>
      <c r="B39" s="6" t="s">
        <v>32</v>
      </c>
      <c r="C39" s="6">
        <v>100</v>
      </c>
      <c r="D39" s="6"/>
    </row>
    <row r="40" spans="1:12">
      <c r="A40" s="6" t="s">
        <v>80</v>
      </c>
      <c r="B40" s="6" t="s">
        <v>74</v>
      </c>
      <c r="C40" s="6">
        <v>6</v>
      </c>
      <c r="D40" s="6"/>
    </row>
    <row r="41" spans="1:12">
      <c r="A41" s="22" t="s">
        <v>81</v>
      </c>
      <c r="B41" s="22" t="s">
        <v>82</v>
      </c>
      <c r="C41" s="22">
        <v>2.0705000000000002E-4</v>
      </c>
      <c r="D41" s="28" t="s">
        <v>83</v>
      </c>
    </row>
    <row r="42" spans="1:12">
      <c r="A42" s="7" t="s">
        <v>84</v>
      </c>
      <c r="B42" s="7"/>
      <c r="C42" s="7">
        <v>3.5000000000000003E-2</v>
      </c>
      <c r="D42" s="7" t="s">
        <v>85</v>
      </c>
    </row>
  </sheetData>
  <hyperlinks>
    <hyperlink ref="D41" r:id="rId1" xr:uid="{9F93DC0F-2E02-452C-976B-7AA72F72715A}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AFE2D-4C9A-402B-933D-0BF0A677B5FB}">
  <dimension ref="A1:AC105"/>
  <sheetViews>
    <sheetView zoomScale="83" zoomScaleNormal="59" workbookViewId="0">
      <pane ySplit="2" topLeftCell="A3" activePane="bottomLeft" state="frozen"/>
      <selection pane="bottomLeft" activeCell="O104" sqref="O104"/>
    </sheetView>
  </sheetViews>
  <sheetFormatPr defaultRowHeight="15"/>
  <cols>
    <col min="1" max="1" width="51.42578125" bestFit="1" customWidth="1"/>
    <col min="2" max="2" width="57.140625" bestFit="1" customWidth="1"/>
    <col min="4" max="12" width="10.7109375" bestFit="1" customWidth="1"/>
    <col min="13" max="22" width="10.140625" bestFit="1" customWidth="1"/>
    <col min="23" max="23" width="11.85546875" bestFit="1" customWidth="1"/>
    <col min="24" max="28" width="10.140625" bestFit="1" customWidth="1"/>
    <col min="29" max="29" width="10.7109375" bestFit="1" customWidth="1"/>
  </cols>
  <sheetData>
    <row r="1" spans="1:29">
      <c r="D1" t="s">
        <v>86</v>
      </c>
    </row>
    <row r="2" spans="1:29">
      <c r="A2" s="23" t="s">
        <v>87</v>
      </c>
      <c r="B2" s="23" t="s">
        <v>9</v>
      </c>
      <c r="C2" s="23" t="s">
        <v>7</v>
      </c>
      <c r="D2" s="23">
        <v>0</v>
      </c>
      <c r="E2" s="23">
        <v>1</v>
      </c>
      <c r="F2" s="23">
        <v>2</v>
      </c>
      <c r="G2" s="23">
        <v>3</v>
      </c>
      <c r="H2" s="23">
        <v>4</v>
      </c>
      <c r="I2" s="23">
        <v>5</v>
      </c>
      <c r="J2" s="23">
        <v>6</v>
      </c>
      <c r="K2" s="23">
        <v>7</v>
      </c>
      <c r="L2" s="23">
        <v>8</v>
      </c>
      <c r="M2" s="23">
        <v>9</v>
      </c>
      <c r="N2" s="23">
        <v>10</v>
      </c>
      <c r="O2" s="23">
        <v>11</v>
      </c>
      <c r="P2" s="23">
        <v>12</v>
      </c>
      <c r="Q2" s="23">
        <v>13</v>
      </c>
      <c r="R2" s="23">
        <v>14</v>
      </c>
      <c r="S2" s="23">
        <v>15</v>
      </c>
      <c r="T2" s="23">
        <v>16</v>
      </c>
      <c r="U2" s="23">
        <v>17</v>
      </c>
      <c r="V2" s="23">
        <v>18</v>
      </c>
      <c r="W2" s="23">
        <v>19</v>
      </c>
      <c r="X2" s="23">
        <v>20</v>
      </c>
      <c r="Y2" s="23">
        <v>21</v>
      </c>
      <c r="Z2" s="23">
        <v>22</v>
      </c>
      <c r="AA2" s="23">
        <v>23</v>
      </c>
      <c r="AB2" s="23">
        <v>24</v>
      </c>
      <c r="AC2" s="23">
        <v>25</v>
      </c>
    </row>
    <row r="3" spans="1:29">
      <c r="A3" s="9" t="s">
        <v>88</v>
      </c>
      <c r="B3" s="9" t="s">
        <v>89</v>
      </c>
      <c r="C3" s="9" t="s">
        <v>90</v>
      </c>
      <c r="D3" s="32"/>
      <c r="E3" s="32">
        <f>SUM(Inputs!$C$23*Inputs!$C$24)</f>
        <v>264</v>
      </c>
      <c r="F3" s="32">
        <f>SUM(Inputs!$C$23*Inputs!$C$24)</f>
        <v>264</v>
      </c>
      <c r="G3" s="32">
        <f>SUM(Inputs!$C$23*Inputs!$C$24)</f>
        <v>264</v>
      </c>
      <c r="H3" s="32">
        <f>SUM(Inputs!$C$23*Inputs!$C$24)</f>
        <v>264</v>
      </c>
      <c r="I3" s="32">
        <f>SUM(Inputs!$C$23*Inputs!$C$24)</f>
        <v>264</v>
      </c>
      <c r="J3" s="32">
        <f>SUM(Inputs!$C$23*Inputs!$C$24)</f>
        <v>264</v>
      </c>
      <c r="K3" s="32">
        <f>SUM(Inputs!$C$23*Inputs!$C$24)</f>
        <v>264</v>
      </c>
      <c r="L3" s="32">
        <f>SUM(Inputs!$C$23*Inputs!$C$24)</f>
        <v>264</v>
      </c>
      <c r="M3" s="32">
        <f>SUM(Inputs!$C$23*Inputs!$C$24)</f>
        <v>264</v>
      </c>
      <c r="N3" s="32">
        <f>SUM(Inputs!$C$23*Inputs!$C$24)</f>
        <v>264</v>
      </c>
      <c r="O3" s="32">
        <f>SUM(Inputs!$C$23*Inputs!$C$24)</f>
        <v>264</v>
      </c>
      <c r="P3" s="32">
        <f>SUM(Inputs!$C$23*Inputs!$C$24)</f>
        <v>264</v>
      </c>
      <c r="Q3" s="32">
        <f>SUM(Inputs!$C$23*Inputs!$C$24)</f>
        <v>264</v>
      </c>
      <c r="R3" s="32">
        <f>SUM(Inputs!$C$23*Inputs!$C$24)</f>
        <v>264</v>
      </c>
      <c r="S3" s="32">
        <f>SUM(Inputs!$C$23*Inputs!$C$24)</f>
        <v>264</v>
      </c>
      <c r="T3" s="32">
        <f>SUM(Inputs!$C$23*Inputs!$C$24)</f>
        <v>264</v>
      </c>
      <c r="U3" s="32">
        <f>SUM(Inputs!$C$23*Inputs!$C$24)</f>
        <v>264</v>
      </c>
      <c r="V3" s="32">
        <f>SUM(Inputs!$C$23*Inputs!$C$24)</f>
        <v>264</v>
      </c>
      <c r="W3" s="32">
        <f>SUM(Inputs!$C$23*Inputs!$C$24)</f>
        <v>264</v>
      </c>
      <c r="X3" s="32">
        <f>SUM(Inputs!$C$23*Inputs!$C$24)</f>
        <v>264</v>
      </c>
      <c r="Y3" s="32">
        <f>SUM(Inputs!$C$23*Inputs!$C$24)</f>
        <v>264</v>
      </c>
      <c r="Z3" s="32">
        <f>SUM(Inputs!$C$23*Inputs!$C$24)</f>
        <v>264</v>
      </c>
      <c r="AA3" s="32">
        <f>SUM(Inputs!$C$23*Inputs!$C$24)</f>
        <v>264</v>
      </c>
      <c r="AB3" s="32">
        <f>SUM(Inputs!$C$23*Inputs!$C$24)</f>
        <v>264</v>
      </c>
      <c r="AC3" s="32">
        <f>SUM(Inputs!$C$23*Inputs!$C$24)</f>
        <v>264</v>
      </c>
    </row>
    <row r="4" spans="1:29">
      <c r="A4" s="9" t="s">
        <v>91</v>
      </c>
      <c r="B4" s="9" t="s">
        <v>92</v>
      </c>
      <c r="C4" s="9" t="s">
        <v>90</v>
      </c>
      <c r="D4" s="32"/>
      <c r="E4" s="32">
        <f>SUM(Inputs!$C$25*Inputs!$C$26)</f>
        <v>1056</v>
      </c>
      <c r="F4" s="32">
        <f>SUM(Inputs!$C$25*Inputs!$C$26)</f>
        <v>1056</v>
      </c>
      <c r="G4" s="32">
        <f>SUM(Inputs!$C$25*Inputs!$C$26)</f>
        <v>1056</v>
      </c>
      <c r="H4" s="32">
        <f>SUM(Inputs!$C$25*Inputs!$C$26)</f>
        <v>1056</v>
      </c>
      <c r="I4" s="32">
        <f>SUM(Inputs!$C$25*Inputs!$C$26)</f>
        <v>1056</v>
      </c>
      <c r="J4" s="32">
        <f>SUM(Inputs!$C$25*Inputs!$C$26)</f>
        <v>1056</v>
      </c>
      <c r="K4" s="32">
        <f>SUM(Inputs!$C$25*Inputs!$C$26)</f>
        <v>1056</v>
      </c>
      <c r="L4" s="32">
        <f>SUM(Inputs!$C$25*Inputs!$C$26)</f>
        <v>1056</v>
      </c>
      <c r="M4" s="32">
        <f>SUM(Inputs!$C$25*Inputs!$C$26)</f>
        <v>1056</v>
      </c>
      <c r="N4" s="32">
        <f>SUM(Inputs!$C$25*Inputs!$C$26)</f>
        <v>1056</v>
      </c>
      <c r="O4" s="32">
        <f>SUM(Inputs!$C$25*Inputs!$C$26)</f>
        <v>1056</v>
      </c>
      <c r="P4" s="32">
        <f>SUM(Inputs!$C$25*Inputs!$C$26)</f>
        <v>1056</v>
      </c>
      <c r="Q4" s="32">
        <f>SUM(Inputs!$C$25*Inputs!$C$26)</f>
        <v>1056</v>
      </c>
      <c r="R4" s="32">
        <f>SUM(Inputs!$C$25*Inputs!$C$26)</f>
        <v>1056</v>
      </c>
      <c r="S4" s="32">
        <f>SUM(Inputs!$C$25*Inputs!$C$26)</f>
        <v>1056</v>
      </c>
      <c r="T4" s="32">
        <f>SUM(Inputs!$C$25*Inputs!$C$26)</f>
        <v>1056</v>
      </c>
      <c r="U4" s="32">
        <f>SUM(Inputs!$C$25*Inputs!$C$26)</f>
        <v>1056</v>
      </c>
      <c r="V4" s="32">
        <f>SUM(Inputs!$C$25*Inputs!$C$26)</f>
        <v>1056</v>
      </c>
      <c r="W4" s="32">
        <f>SUM(Inputs!$C$25*Inputs!$C$26)</f>
        <v>1056</v>
      </c>
      <c r="X4" s="32">
        <f>SUM(Inputs!$C$25*Inputs!$C$26)</f>
        <v>1056</v>
      </c>
      <c r="Y4" s="32">
        <f>SUM(Inputs!$C$25*Inputs!$C$26)</f>
        <v>1056</v>
      </c>
      <c r="Z4" s="32">
        <f>SUM(Inputs!$C$25*Inputs!$C$26)</f>
        <v>1056</v>
      </c>
      <c r="AA4" s="32">
        <f>SUM(Inputs!$C$25*Inputs!$C$26)</f>
        <v>1056</v>
      </c>
      <c r="AB4" s="32">
        <f>SUM(Inputs!$C$25*Inputs!$C$26)</f>
        <v>1056</v>
      </c>
      <c r="AC4" s="32">
        <f>SUM(Inputs!$C$25*Inputs!$C$26)</f>
        <v>1056</v>
      </c>
    </row>
    <row r="5" spans="1:29">
      <c r="A5" s="9" t="s">
        <v>93</v>
      </c>
      <c r="B5" s="9" t="s">
        <v>94</v>
      </c>
      <c r="C5" s="9" t="s">
        <v>90</v>
      </c>
      <c r="D5" s="32">
        <f>SUM(Inputs!C28*Inputs!C29)</f>
        <v>2640</v>
      </c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</row>
    <row r="6" spans="1:29">
      <c r="A6" s="9" t="s">
        <v>95</v>
      </c>
      <c r="B6" s="9" t="s">
        <v>96</v>
      </c>
      <c r="C6" s="9" t="s">
        <v>90</v>
      </c>
      <c r="D6" s="32">
        <f>SUM(Inputs!C30*Inputs!C31)</f>
        <v>1320</v>
      </c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</row>
    <row r="7" spans="1:29">
      <c r="A7" s="9" t="s">
        <v>97</v>
      </c>
      <c r="B7" s="9" t="s">
        <v>98</v>
      </c>
      <c r="C7" s="9" t="s">
        <v>90</v>
      </c>
      <c r="D7" s="32">
        <f>SUM(Inputs!C32*Inputs!C33)</f>
        <v>1320</v>
      </c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</row>
    <row r="8" spans="1:29">
      <c r="A8" s="9" t="s">
        <v>99</v>
      </c>
      <c r="B8" s="9" t="s">
        <v>100</v>
      </c>
      <c r="C8" s="9" t="s">
        <v>90</v>
      </c>
      <c r="D8" s="32">
        <f>SUM(Inputs!C34*Inputs!C35)</f>
        <v>1320</v>
      </c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</row>
    <row r="9" spans="1:29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</row>
    <row r="10" spans="1:29">
      <c r="A10" s="6" t="s">
        <v>101</v>
      </c>
      <c r="B10" s="6" t="s">
        <v>102</v>
      </c>
      <c r="C10" s="6" t="s">
        <v>103</v>
      </c>
      <c r="D10" s="6"/>
      <c r="E10" s="6">
        <f>SUM(Inputs!$C$36/100)</f>
        <v>0.25</v>
      </c>
      <c r="F10" s="6">
        <f>SUM(Inputs!$C$36/100)</f>
        <v>0.25</v>
      </c>
      <c r="G10" s="6">
        <f>SUM(Inputs!$C$36/100)</f>
        <v>0.25</v>
      </c>
      <c r="H10" s="6">
        <f>SUM(Inputs!$C$36/100)</f>
        <v>0.25</v>
      </c>
      <c r="I10" s="6">
        <f>SUM(Inputs!$C$36/100)</f>
        <v>0.25</v>
      </c>
      <c r="J10" s="6">
        <f>SUM(Inputs!$C$36/100)</f>
        <v>0.25</v>
      </c>
      <c r="K10" s="6">
        <f>SUM(Inputs!$C$36/100)</f>
        <v>0.25</v>
      </c>
      <c r="L10" s="6">
        <f>SUM(Inputs!$C$36/100)</f>
        <v>0.25</v>
      </c>
      <c r="M10" s="6">
        <f>SUM(Inputs!$C$36/100)</f>
        <v>0.25</v>
      </c>
      <c r="N10" s="6">
        <f>SUM(Inputs!$C$36/100)</f>
        <v>0.25</v>
      </c>
      <c r="O10" s="6">
        <f>SUM(Inputs!$C$36/100)</f>
        <v>0.25</v>
      </c>
      <c r="P10" s="6">
        <f>SUM(Inputs!$C$36/100)</f>
        <v>0.25</v>
      </c>
      <c r="Q10" s="6">
        <f>SUM(Inputs!$C$36/100)</f>
        <v>0.25</v>
      </c>
      <c r="R10" s="6">
        <f>SUM(Inputs!$C$36/100)</f>
        <v>0.25</v>
      </c>
      <c r="S10" s="6">
        <f>SUM(Inputs!$C$36/100)</f>
        <v>0.25</v>
      </c>
      <c r="T10" s="6">
        <f>SUM(Inputs!$C$36/100)</f>
        <v>0.25</v>
      </c>
      <c r="U10" s="6">
        <f>SUM(Inputs!$C$36/100)</f>
        <v>0.25</v>
      </c>
      <c r="V10" s="6">
        <f>SUM(Inputs!$C$36/100)</f>
        <v>0.25</v>
      </c>
      <c r="W10" s="6">
        <f>SUM(Inputs!$C$36/100)</f>
        <v>0.25</v>
      </c>
      <c r="X10" s="6">
        <f>SUM(Inputs!$C$36/100)</f>
        <v>0.25</v>
      </c>
      <c r="Y10" s="6">
        <f>SUM(Inputs!$C$36/100)</f>
        <v>0.25</v>
      </c>
      <c r="Z10" s="6">
        <f>SUM(Inputs!$C$36/100)</f>
        <v>0.25</v>
      </c>
      <c r="AA10" s="6">
        <f>SUM(Inputs!$C$36/100)</f>
        <v>0.25</v>
      </c>
      <c r="AB10" s="6">
        <f>SUM(Inputs!$C$36/100)</f>
        <v>0.25</v>
      </c>
      <c r="AC10" s="6">
        <f>SUM(Inputs!$C$36/100)</f>
        <v>0.25</v>
      </c>
    </row>
    <row r="11" spans="1:29">
      <c r="A11" s="6" t="s">
        <v>104</v>
      </c>
      <c r="B11" s="6" t="s">
        <v>105</v>
      </c>
      <c r="C11" s="6" t="s">
        <v>103</v>
      </c>
      <c r="D11" s="6"/>
      <c r="E11" s="6">
        <f>SUM(E10*(1-Inputs!$C$37/100))</f>
        <v>0.1875</v>
      </c>
      <c r="F11" s="6">
        <f>SUM(F10*(1-Inputs!$C$37/100))</f>
        <v>0.1875</v>
      </c>
      <c r="G11" s="6">
        <f>SUM(G10*(1-Inputs!$C$37/100))</f>
        <v>0.1875</v>
      </c>
      <c r="H11" s="6">
        <f>SUM(H10*(1-Inputs!$C$37/100))</f>
        <v>0.1875</v>
      </c>
      <c r="I11" s="6">
        <f>SUM(I10*(1-Inputs!$C$37/100))</f>
        <v>0.1875</v>
      </c>
      <c r="J11" s="6">
        <f>SUM(J10*(1-Inputs!$C$37/100))</f>
        <v>0.1875</v>
      </c>
      <c r="K11" s="6">
        <f>SUM(K10*(1-Inputs!$C$37/100))</f>
        <v>0.1875</v>
      </c>
      <c r="L11" s="6">
        <f>SUM(L10*(1-Inputs!$C$37/100))</f>
        <v>0.1875</v>
      </c>
      <c r="M11" s="6">
        <f>SUM(M10*(1-Inputs!$C$37/100))</f>
        <v>0.1875</v>
      </c>
      <c r="N11" s="6">
        <f>SUM(N10*(1-Inputs!$C$37/100))</f>
        <v>0.1875</v>
      </c>
      <c r="O11" s="6">
        <f>SUM(O10*(1-Inputs!$C$37/100))</f>
        <v>0.1875</v>
      </c>
      <c r="P11" s="6">
        <f>SUM(P10*(1-Inputs!$C$37/100))</f>
        <v>0.1875</v>
      </c>
      <c r="Q11" s="6">
        <f>SUM(Q10*(1-Inputs!$C$37/100))</f>
        <v>0.1875</v>
      </c>
      <c r="R11" s="6">
        <f>SUM(R10*(1-Inputs!$C$37/100))</f>
        <v>0.1875</v>
      </c>
      <c r="S11" s="6">
        <f>SUM(S10*(1-Inputs!$C$37/100))</f>
        <v>0.1875</v>
      </c>
      <c r="T11" s="6">
        <f>SUM(T10*(1-Inputs!$C$37/100))</f>
        <v>0.1875</v>
      </c>
      <c r="U11" s="6">
        <f>SUM(U10*(1-Inputs!$C$37/100))</f>
        <v>0.1875</v>
      </c>
      <c r="V11" s="6">
        <f>SUM(V10*(1-Inputs!$C$37/100))</f>
        <v>0.1875</v>
      </c>
      <c r="W11" s="6">
        <f>SUM(W10*(1-Inputs!$C$37/100))</f>
        <v>0.1875</v>
      </c>
      <c r="X11" s="6">
        <f>SUM(X10*(1-Inputs!$C$37/100))</f>
        <v>0.1875</v>
      </c>
      <c r="Y11" s="6">
        <f>SUM(Y10*(1-Inputs!$C$37/100))</f>
        <v>0.1875</v>
      </c>
      <c r="Z11" s="6">
        <f>SUM(Z10*(1-Inputs!$C$37/100))</f>
        <v>0.1875</v>
      </c>
      <c r="AA11" s="6">
        <f>SUM(AA10*(1-Inputs!$C$37/100))</f>
        <v>0.1875</v>
      </c>
      <c r="AB11" s="6">
        <f>SUM(AB10*(1-Inputs!$C$37/100))</f>
        <v>0.1875</v>
      </c>
      <c r="AC11" s="6">
        <f>SUM(AC10*(1-Inputs!$C$37/100))</f>
        <v>0.1875</v>
      </c>
    </row>
    <row r="12" spans="1:29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</row>
    <row r="13" spans="1:29">
      <c r="A13" s="10" t="s">
        <v>106</v>
      </c>
      <c r="B13" s="10" t="s">
        <v>107</v>
      </c>
      <c r="C13" s="10" t="s">
        <v>20</v>
      </c>
      <c r="D13" s="33">
        <f>SUM(Inputs!$C$2*Inputs!$C$6)</f>
        <v>45</v>
      </c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</row>
    <row r="14" spans="1:29">
      <c r="A14" s="10" t="s">
        <v>108</v>
      </c>
      <c r="B14" s="10" t="s">
        <v>109</v>
      </c>
      <c r="C14" s="10" t="s">
        <v>110</v>
      </c>
      <c r="D14" s="33">
        <f>SUM(D13*Inputs!$C$10)</f>
        <v>38250</v>
      </c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</row>
    <row r="15" spans="1:29">
      <c r="A15" s="10" t="s">
        <v>111</v>
      </c>
      <c r="B15" s="10" t="s">
        <v>112</v>
      </c>
      <c r="C15" s="10" t="s">
        <v>110</v>
      </c>
      <c r="D15" s="33"/>
      <c r="E15" s="33">
        <f>D14</f>
        <v>38250</v>
      </c>
      <c r="F15" s="33">
        <f>SUM(E15*(1-Inputs!$C$11/100))</f>
        <v>38058.75</v>
      </c>
      <c r="G15" s="33">
        <f>SUM(F15*(1-Inputs!$C$11/100))</f>
        <v>37868.456250000003</v>
      </c>
      <c r="H15" s="33">
        <f>SUM(G15*(1-Inputs!$C$11/100))</f>
        <v>37679.113968750004</v>
      </c>
      <c r="I15" s="33">
        <f>SUM(H15*(1-Inputs!$C$11/100))</f>
        <v>37490.718398906254</v>
      </c>
      <c r="J15" s="33">
        <f>SUM(I15*(1-Inputs!$C$11/100))</f>
        <v>37303.26480691172</v>
      </c>
      <c r="K15" s="33">
        <f>SUM(J15*(1-Inputs!$C$11/100))</f>
        <v>37116.748482877163</v>
      </c>
      <c r="L15" s="33">
        <f>SUM(K15*(1-Inputs!$C$11/100))</f>
        <v>36931.16474046278</v>
      </c>
      <c r="M15" s="33">
        <f>SUM(L15*(1-Inputs!$C$11/100))</f>
        <v>36746.508916760467</v>
      </c>
      <c r="N15" s="33">
        <f>SUM(M15*(1-Inputs!$C$11/100))</f>
        <v>36562.776372176668</v>
      </c>
      <c r="O15" s="33">
        <f>SUM(N15*(1-Inputs!$C$11/100))</f>
        <v>36379.962490315782</v>
      </c>
      <c r="P15" s="33">
        <f>SUM(O15*(1-Inputs!$C$11/100))</f>
        <v>36198.062677864204</v>
      </c>
      <c r="Q15" s="33">
        <f>SUM(P15*(1-Inputs!$C$11/100))</f>
        <v>36017.07236447488</v>
      </c>
      <c r="R15" s="33">
        <f>SUM(Q15*(1-Inputs!$C$11/100))</f>
        <v>35836.987002652502</v>
      </c>
      <c r="S15" s="33">
        <f>SUM(R15*(1-Inputs!$C$11/100))</f>
        <v>35657.802067639241</v>
      </c>
      <c r="T15" s="33">
        <f>SUM(S15*(1-Inputs!$C$11/100))</f>
        <v>35479.513057301047</v>
      </c>
      <c r="U15" s="33">
        <f>SUM(T15*(1-Inputs!$C$11/100))</f>
        <v>35302.115492014542</v>
      </c>
      <c r="V15" s="33">
        <f>SUM(U15*(1-Inputs!$C$11/100))</f>
        <v>35125.604914554468</v>
      </c>
      <c r="W15" s="33">
        <f>SUM(V15*(1-Inputs!$C$11/100))</f>
        <v>34949.976889981692</v>
      </c>
      <c r="X15" s="33">
        <f>SUM(W15*(1-Inputs!$C$11/100))</f>
        <v>34775.227005531786</v>
      </c>
      <c r="Y15" s="33">
        <f>SUM(X15*(1-Inputs!$C$11/100))</f>
        <v>34601.350870504124</v>
      </c>
      <c r="Z15" s="33">
        <f>SUM(Y15*(1-Inputs!$C$11/100))</f>
        <v>34428.344116151602</v>
      </c>
      <c r="AA15" s="33">
        <f>SUM(Z15*(1-Inputs!$C$11/100))</f>
        <v>34256.202395570843</v>
      </c>
      <c r="AB15" s="33">
        <f>SUM(AA15*(1-Inputs!$C$11/100))</f>
        <v>34084.921383592991</v>
      </c>
      <c r="AC15" s="33">
        <f>SUM(AB15*(1-Inputs!$C$11/100))</f>
        <v>33914.496776675027</v>
      </c>
    </row>
    <row r="16" spans="1:29">
      <c r="A16" s="10" t="s">
        <v>113</v>
      </c>
      <c r="B16" s="10" t="s">
        <v>114</v>
      </c>
      <c r="C16" s="10" t="s">
        <v>110</v>
      </c>
      <c r="D16" s="33"/>
      <c r="E16" s="33">
        <f>SUM(E15*(Inputs!$C$38/100)*(Inputs!$C$39/100))</f>
        <v>22950</v>
      </c>
      <c r="F16" s="33">
        <f>SUM(F15*(Inputs!$C$38/100)*(Inputs!$C$39/100))</f>
        <v>22835.25</v>
      </c>
      <c r="G16" s="33">
        <f>SUM(G15*(Inputs!$C$38/100)*(Inputs!$C$39/100))</f>
        <v>22721.07375</v>
      </c>
      <c r="H16" s="33">
        <f>SUM(H15*(Inputs!$C$38/100)*(Inputs!$C$39/100))</f>
        <v>22607.468381250001</v>
      </c>
      <c r="I16" s="33">
        <f>SUM(I15*(Inputs!$C$38/100)*(Inputs!$C$39/100))</f>
        <v>22494.431039343752</v>
      </c>
      <c r="J16" s="33">
        <f>SUM(J15*(Inputs!$C$38/100)*(Inputs!$C$39/100))</f>
        <v>22381.958884147032</v>
      </c>
      <c r="K16" s="33">
        <f>SUM(K15*(Inputs!$C$38/100)*(Inputs!$C$39/100))</f>
        <v>22270.049089726297</v>
      </c>
      <c r="L16" s="33">
        <f>SUM(L15*(Inputs!$C$38/100)*(Inputs!$C$39/100))</f>
        <v>22158.698844277667</v>
      </c>
      <c r="M16" s="33">
        <f>SUM(M15*(Inputs!$C$38/100)*(Inputs!$C$39/100))</f>
        <v>22047.90535005628</v>
      </c>
      <c r="N16" s="33">
        <f>SUM(N15*(Inputs!$C$38/100)*(Inputs!$C$39/100))</f>
        <v>21937.665823306001</v>
      </c>
      <c r="O16" s="33">
        <f>SUM(O15*(Inputs!$C$38/100)*(Inputs!$C$39/100))</f>
        <v>21827.977494189468</v>
      </c>
      <c r="P16" s="33">
        <f>SUM(P15*(Inputs!$C$38/100)*(Inputs!$C$39/100))</f>
        <v>21718.83760671852</v>
      </c>
      <c r="Q16" s="33">
        <f>SUM(Q15*(Inputs!$C$38/100)*(Inputs!$C$39/100))</f>
        <v>21610.243418684928</v>
      </c>
      <c r="R16" s="33">
        <f>SUM(R15*(Inputs!$C$38/100)*(Inputs!$C$39/100))</f>
        <v>21502.192201591501</v>
      </c>
      <c r="S16" s="33">
        <f>SUM(S15*(Inputs!$C$38/100)*(Inputs!$C$39/100))</f>
        <v>21394.681240583544</v>
      </c>
      <c r="T16" s="33">
        <f>SUM(T15*(Inputs!$C$38/100)*(Inputs!$C$39/100))</f>
        <v>21287.707834380628</v>
      </c>
      <c r="U16" s="33">
        <f>SUM(U15*(Inputs!$C$38/100)*(Inputs!$C$39/100))</f>
        <v>21181.269295208724</v>
      </c>
      <c r="V16" s="33">
        <f>SUM(V15*(Inputs!$C$38/100)*(Inputs!$C$39/100))</f>
        <v>21075.36294873268</v>
      </c>
      <c r="W16" s="33">
        <f>SUM(W15*(Inputs!$C$38/100)*(Inputs!$C$39/100))</f>
        <v>20969.986133989016</v>
      </c>
      <c r="X16" s="33">
        <f>SUM(X15*(Inputs!$C$38/100)*(Inputs!$C$39/100))</f>
        <v>20865.136203319071</v>
      </c>
      <c r="Y16" s="33">
        <f>SUM(Y15*(Inputs!$C$38/100)*(Inputs!$C$39/100))</f>
        <v>20760.810522302472</v>
      </c>
      <c r="Z16" s="33">
        <f>SUM(Z15*(Inputs!$C$38/100)*(Inputs!$C$39/100))</f>
        <v>20657.006469690961</v>
      </c>
      <c r="AA16" s="33">
        <f>SUM(AA15*(Inputs!$C$38/100)*(Inputs!$C$39/100))</f>
        <v>20553.721437342505</v>
      </c>
      <c r="AB16" s="33">
        <f>SUM(AB15*(Inputs!$C$38/100)*(Inputs!$C$39/100))</f>
        <v>20450.952830155795</v>
      </c>
      <c r="AC16" s="33">
        <f>SUM(AC15*(Inputs!$C$38/100)*(Inputs!$C$39/100))</f>
        <v>20348.698066005014</v>
      </c>
    </row>
    <row r="17" spans="1:29">
      <c r="A17" s="10" t="s">
        <v>115</v>
      </c>
      <c r="B17" s="10" t="s">
        <v>116</v>
      </c>
      <c r="C17" s="10" t="s">
        <v>110</v>
      </c>
      <c r="D17" s="33"/>
      <c r="E17" s="33">
        <f>SUM(E15-E16)</f>
        <v>15300</v>
      </c>
      <c r="F17" s="33">
        <f t="shared" ref="F17:AC17" si="0">SUM(F15-F16)</f>
        <v>15223.5</v>
      </c>
      <c r="G17" s="33">
        <f t="shared" si="0"/>
        <v>15147.382500000003</v>
      </c>
      <c r="H17" s="33">
        <f t="shared" si="0"/>
        <v>15071.645587500003</v>
      </c>
      <c r="I17" s="33">
        <f t="shared" si="0"/>
        <v>14996.287359562502</v>
      </c>
      <c r="J17" s="33">
        <f t="shared" si="0"/>
        <v>14921.305922764688</v>
      </c>
      <c r="K17" s="33">
        <f t="shared" si="0"/>
        <v>14846.699393150866</v>
      </c>
      <c r="L17" s="33">
        <f t="shared" si="0"/>
        <v>14772.465896185113</v>
      </c>
      <c r="M17" s="33">
        <f t="shared" si="0"/>
        <v>14698.603566704187</v>
      </c>
      <c r="N17" s="33">
        <f t="shared" si="0"/>
        <v>14625.110548870667</v>
      </c>
      <c r="O17" s="33">
        <f t="shared" si="0"/>
        <v>14551.984996126313</v>
      </c>
      <c r="P17" s="33">
        <f t="shared" si="0"/>
        <v>14479.225071145684</v>
      </c>
      <c r="Q17" s="33">
        <f t="shared" si="0"/>
        <v>14406.828945789952</v>
      </c>
      <c r="R17" s="33">
        <f t="shared" si="0"/>
        <v>14334.794801061002</v>
      </c>
      <c r="S17" s="33">
        <f t="shared" si="0"/>
        <v>14263.120827055696</v>
      </c>
      <c r="T17" s="33">
        <f t="shared" si="0"/>
        <v>14191.805222920419</v>
      </c>
      <c r="U17" s="33">
        <f t="shared" si="0"/>
        <v>14120.846196805818</v>
      </c>
      <c r="V17" s="33">
        <f t="shared" si="0"/>
        <v>14050.241965821788</v>
      </c>
      <c r="W17" s="33">
        <f t="shared" si="0"/>
        <v>13979.990755992676</v>
      </c>
      <c r="X17" s="33">
        <f t="shared" si="0"/>
        <v>13910.090802212715</v>
      </c>
      <c r="Y17" s="33">
        <f t="shared" si="0"/>
        <v>13840.540348201652</v>
      </c>
      <c r="Z17" s="33">
        <f t="shared" si="0"/>
        <v>13771.337646460641</v>
      </c>
      <c r="AA17" s="33">
        <f t="shared" si="0"/>
        <v>13702.480958228338</v>
      </c>
      <c r="AB17" s="33">
        <f t="shared" si="0"/>
        <v>13633.968553437197</v>
      </c>
      <c r="AC17" s="33">
        <f t="shared" si="0"/>
        <v>13565.798710670013</v>
      </c>
    </row>
    <row r="18" spans="1:29">
      <c r="A18" s="11" t="s">
        <v>117</v>
      </c>
      <c r="B18" s="11" t="s">
        <v>118</v>
      </c>
      <c r="C18" s="11" t="s">
        <v>90</v>
      </c>
      <c r="D18" s="34"/>
      <c r="E18" s="34">
        <f>SUM(E16*E11)</f>
        <v>4303.125</v>
      </c>
      <c r="F18" s="34">
        <f t="shared" ref="F18:AC18" si="1">SUM(F16*F11)</f>
        <v>4281.609375</v>
      </c>
      <c r="G18" s="34">
        <f t="shared" si="1"/>
        <v>4260.2013281250001</v>
      </c>
      <c r="H18" s="34">
        <f t="shared" si="1"/>
        <v>4238.9003214843751</v>
      </c>
      <c r="I18" s="34">
        <f t="shared" si="1"/>
        <v>4217.7058198769537</v>
      </c>
      <c r="J18" s="34">
        <f t="shared" si="1"/>
        <v>4196.617290777569</v>
      </c>
      <c r="K18" s="34">
        <f t="shared" si="1"/>
        <v>4175.6342043236809</v>
      </c>
      <c r="L18" s="34">
        <f t="shared" si="1"/>
        <v>4154.7560333020629</v>
      </c>
      <c r="M18" s="34">
        <f t="shared" si="1"/>
        <v>4133.982253135553</v>
      </c>
      <c r="N18" s="34">
        <f t="shared" si="1"/>
        <v>4113.3123418698751</v>
      </c>
      <c r="O18" s="34">
        <f t="shared" si="1"/>
        <v>4092.7457801605251</v>
      </c>
      <c r="P18" s="34">
        <f t="shared" si="1"/>
        <v>4072.2820512597227</v>
      </c>
      <c r="Q18" s="34">
        <f t="shared" si="1"/>
        <v>4051.920641003424</v>
      </c>
      <c r="R18" s="34">
        <f t="shared" si="1"/>
        <v>4031.6610377984061</v>
      </c>
      <c r="S18" s="34">
        <f t="shared" si="1"/>
        <v>4011.5027326094146</v>
      </c>
      <c r="T18" s="34">
        <f t="shared" si="1"/>
        <v>3991.4452189463677</v>
      </c>
      <c r="U18" s="34">
        <f t="shared" si="1"/>
        <v>3971.4879928516357</v>
      </c>
      <c r="V18" s="34">
        <f t="shared" si="1"/>
        <v>3951.6305528873772</v>
      </c>
      <c r="W18" s="34">
        <f t="shared" si="1"/>
        <v>3931.8724001229402</v>
      </c>
      <c r="X18" s="34">
        <f t="shared" si="1"/>
        <v>3912.213038122326</v>
      </c>
      <c r="Y18" s="34">
        <f t="shared" si="1"/>
        <v>3892.6519729317133</v>
      </c>
      <c r="Z18" s="34">
        <f t="shared" si="1"/>
        <v>3873.1887130670552</v>
      </c>
      <c r="AA18" s="34">
        <f t="shared" si="1"/>
        <v>3853.8227695017194</v>
      </c>
      <c r="AB18" s="34">
        <f t="shared" si="1"/>
        <v>3834.5536556542115</v>
      </c>
      <c r="AC18" s="34">
        <f t="shared" si="1"/>
        <v>3815.3808873759399</v>
      </c>
    </row>
    <row r="19" spans="1:29">
      <c r="A19" s="11" t="s">
        <v>119</v>
      </c>
      <c r="B19" s="11" t="s">
        <v>120</v>
      </c>
      <c r="C19" s="11" t="s">
        <v>90</v>
      </c>
      <c r="D19" s="34"/>
      <c r="E19" s="34">
        <f>SUM(E17*Inputs!$C$40/100)</f>
        <v>918</v>
      </c>
      <c r="F19" s="34">
        <f>SUM(F17*Inputs!$C$40/100)</f>
        <v>913.41</v>
      </c>
      <c r="G19" s="34">
        <f>SUM(G17*Inputs!$C$40/100)</f>
        <v>908.84295000000009</v>
      </c>
      <c r="H19" s="34">
        <f>SUM(H17*Inputs!$C$40/100)</f>
        <v>904.29873525000016</v>
      </c>
      <c r="I19" s="34">
        <f>SUM(I17*Inputs!$C$40/100)</f>
        <v>899.77724157375019</v>
      </c>
      <c r="J19" s="34">
        <f>SUM(J17*Inputs!$C$40/100)</f>
        <v>895.27835536588134</v>
      </c>
      <c r="K19" s="34">
        <f>SUM(K17*Inputs!$C$40/100)</f>
        <v>890.80196358905198</v>
      </c>
      <c r="L19" s="34">
        <f>SUM(L17*Inputs!$C$40/100)</f>
        <v>886.34795377110686</v>
      </c>
      <c r="M19" s="34">
        <f>SUM(M17*Inputs!$C$40/100)</f>
        <v>881.91621400225119</v>
      </c>
      <c r="N19" s="34">
        <f>SUM(N17*Inputs!$C$40/100)</f>
        <v>877.50663293224</v>
      </c>
      <c r="O19" s="34">
        <f>SUM(O17*Inputs!$C$40/100)</f>
        <v>873.11909976757886</v>
      </c>
      <c r="P19" s="34">
        <f>SUM(P17*Inputs!$C$40/100)</f>
        <v>868.75350426874093</v>
      </c>
      <c r="Q19" s="34">
        <f>SUM(Q17*Inputs!$C$40/100)</f>
        <v>864.40973674739712</v>
      </c>
      <c r="R19" s="34">
        <f>SUM(R17*Inputs!$C$40/100)</f>
        <v>860.08768806366015</v>
      </c>
      <c r="S19" s="34">
        <f>SUM(S17*Inputs!$C$40/100)</f>
        <v>855.78724962334172</v>
      </c>
      <c r="T19" s="34">
        <f>SUM(T17*Inputs!$C$40/100)</f>
        <v>851.50831337522516</v>
      </c>
      <c r="U19" s="34">
        <f>SUM(U17*Inputs!$C$40/100)</f>
        <v>847.2507718083491</v>
      </c>
      <c r="V19" s="34">
        <f>SUM(V17*Inputs!$C$40/100)</f>
        <v>843.01451794930733</v>
      </c>
      <c r="W19" s="34">
        <f>SUM(W17*Inputs!$C$40/100)</f>
        <v>838.79944535956054</v>
      </c>
      <c r="X19" s="34">
        <f>SUM(X17*Inputs!$C$40/100)</f>
        <v>834.60544813276294</v>
      </c>
      <c r="Y19" s="34">
        <f>SUM(Y17*Inputs!$C$40/100)</f>
        <v>830.432420892099</v>
      </c>
      <c r="Z19" s="34">
        <f>SUM(Z17*Inputs!$C$40/100)</f>
        <v>826.28025878763845</v>
      </c>
      <c r="AA19" s="34">
        <f>SUM(AA17*Inputs!$C$40/100)</f>
        <v>822.14885749370035</v>
      </c>
      <c r="AB19" s="34">
        <f>SUM(AB17*Inputs!$C$40/100)</f>
        <v>818.03811320623174</v>
      </c>
      <c r="AC19" s="34">
        <f>SUM(AC17*Inputs!$C$40/100)</f>
        <v>813.94792264020066</v>
      </c>
    </row>
    <row r="20" spans="1:29">
      <c r="A20" s="12" t="s">
        <v>121</v>
      </c>
      <c r="B20" s="12" t="s">
        <v>122</v>
      </c>
      <c r="C20" s="12" t="s">
        <v>90</v>
      </c>
      <c r="D20" s="35"/>
      <c r="E20" s="35">
        <f>SUM(E18:E19)</f>
        <v>5221.125</v>
      </c>
      <c r="F20" s="35">
        <f t="shared" ref="F20:AC20" si="2">SUM(F18:F19)</f>
        <v>5195.0193749999999</v>
      </c>
      <c r="G20" s="35">
        <f t="shared" si="2"/>
        <v>5169.0442781250003</v>
      </c>
      <c r="H20" s="35">
        <f t="shared" si="2"/>
        <v>5143.1990567343755</v>
      </c>
      <c r="I20" s="35">
        <f t="shared" si="2"/>
        <v>5117.4830614507036</v>
      </c>
      <c r="J20" s="35">
        <f t="shared" si="2"/>
        <v>5091.89564614345</v>
      </c>
      <c r="K20" s="35">
        <f t="shared" si="2"/>
        <v>5066.4361679127333</v>
      </c>
      <c r="L20" s="35">
        <f t="shared" si="2"/>
        <v>5041.1039870731693</v>
      </c>
      <c r="M20" s="35">
        <f t="shared" si="2"/>
        <v>5015.8984671378039</v>
      </c>
      <c r="N20" s="35">
        <f t="shared" si="2"/>
        <v>4990.818974802115</v>
      </c>
      <c r="O20" s="35">
        <f t="shared" si="2"/>
        <v>4965.8648799281036</v>
      </c>
      <c r="P20" s="35">
        <f t="shared" si="2"/>
        <v>4941.0355555284641</v>
      </c>
      <c r="Q20" s="35">
        <f t="shared" si="2"/>
        <v>4916.3303777508208</v>
      </c>
      <c r="R20" s="35">
        <f t="shared" si="2"/>
        <v>4891.7487258620658</v>
      </c>
      <c r="S20" s="35">
        <f t="shared" si="2"/>
        <v>4867.2899822327563</v>
      </c>
      <c r="T20" s="35">
        <f t="shared" si="2"/>
        <v>4842.9535323215932</v>
      </c>
      <c r="U20" s="35">
        <f t="shared" si="2"/>
        <v>4818.7387646599846</v>
      </c>
      <c r="V20" s="35">
        <f t="shared" si="2"/>
        <v>4794.6450708366847</v>
      </c>
      <c r="W20" s="35">
        <f t="shared" si="2"/>
        <v>4770.6718454825004</v>
      </c>
      <c r="X20" s="35">
        <f t="shared" si="2"/>
        <v>4746.8184862550888</v>
      </c>
      <c r="Y20" s="35">
        <f t="shared" si="2"/>
        <v>4723.0843938238122</v>
      </c>
      <c r="Z20" s="35">
        <f t="shared" si="2"/>
        <v>4699.4689718546933</v>
      </c>
      <c r="AA20" s="35">
        <f t="shared" si="2"/>
        <v>4675.9716269954197</v>
      </c>
      <c r="AB20" s="35">
        <f t="shared" si="2"/>
        <v>4652.5917688604432</v>
      </c>
      <c r="AC20" s="35">
        <f t="shared" si="2"/>
        <v>4629.3288100161408</v>
      </c>
    </row>
    <row r="21" spans="1:29">
      <c r="A21" s="21" t="s">
        <v>123</v>
      </c>
      <c r="B21" s="21" t="s">
        <v>124</v>
      </c>
      <c r="C21" s="21" t="s">
        <v>125</v>
      </c>
      <c r="D21" s="36"/>
      <c r="E21" s="36">
        <f>SUM(E15*Inputs!$C$41)</f>
        <v>7.9196625000000003</v>
      </c>
      <c r="F21" s="36">
        <f>SUM(F15*Inputs!$C$41)</f>
        <v>7.8800641875000004</v>
      </c>
      <c r="G21" s="36">
        <f>SUM(G15*Inputs!$C$41)</f>
        <v>7.840663866562501</v>
      </c>
      <c r="H21" s="36">
        <f>SUM(H15*Inputs!$C$41)</f>
        <v>7.8014605472296887</v>
      </c>
      <c r="I21" s="36">
        <f>SUM(I15*Inputs!$C$41)</f>
        <v>7.7624532444935408</v>
      </c>
      <c r="J21" s="36">
        <f>SUM(J15*Inputs!$C$41)</f>
        <v>7.7236409782710727</v>
      </c>
      <c r="K21" s="36">
        <f>SUM(K15*Inputs!$C$41)</f>
        <v>7.6850227733797176</v>
      </c>
      <c r="L21" s="36">
        <f>SUM(L15*Inputs!$C$41)</f>
        <v>7.6465976595128193</v>
      </c>
      <c r="M21" s="36">
        <f>SUM(M15*Inputs!$C$41)</f>
        <v>7.6083646712152557</v>
      </c>
      <c r="N21" s="36">
        <f>SUM(N15*Inputs!$C$41)</f>
        <v>7.5703228478591793</v>
      </c>
      <c r="O21" s="36">
        <f>SUM(O15*Inputs!$C$41)</f>
        <v>7.5324712336198836</v>
      </c>
      <c r="P21" s="36">
        <f>SUM(P15*Inputs!$C$41)</f>
        <v>7.494808877451784</v>
      </c>
      <c r="Q21" s="36">
        <f>SUM(Q15*Inputs!$C$41)</f>
        <v>7.4573348330645244</v>
      </c>
      <c r="R21" s="36">
        <f>SUM(R15*Inputs!$C$41)</f>
        <v>7.4200481588992009</v>
      </c>
      <c r="S21" s="36">
        <f>SUM(S15*Inputs!$C$41)</f>
        <v>7.3829479181047057</v>
      </c>
      <c r="T21" s="36">
        <f>SUM(T15*Inputs!$C$41)</f>
        <v>7.3460331785141824</v>
      </c>
      <c r="U21" s="36">
        <f>SUM(U15*Inputs!$C$41)</f>
        <v>7.3093030126216112</v>
      </c>
      <c r="V21" s="36">
        <f>SUM(V15*Inputs!$C$41)</f>
        <v>7.2727564975585031</v>
      </c>
      <c r="W21" s="36">
        <f>SUM(W15*Inputs!$C$41)</f>
        <v>7.2363927150707097</v>
      </c>
      <c r="X21" s="36">
        <f>SUM(X15*Inputs!$C$41)</f>
        <v>7.2002107514953568</v>
      </c>
      <c r="Y21" s="36">
        <f>SUM(Y15*Inputs!$C$41)</f>
        <v>7.1642096977378795</v>
      </c>
      <c r="Z21" s="36">
        <f>SUM(Z15*Inputs!$C$41)</f>
        <v>7.1283886492491897</v>
      </c>
      <c r="AA21" s="36">
        <f>SUM(AA15*Inputs!$C$41)</f>
        <v>7.0927467060029432</v>
      </c>
      <c r="AB21" s="36">
        <f>SUM(AB15*Inputs!$C$41)</f>
        <v>7.0572829724729296</v>
      </c>
      <c r="AC21" s="36">
        <f>SUM(AC15*Inputs!$C$41)</f>
        <v>7.0219965576105645</v>
      </c>
    </row>
    <row r="22" spans="1:29">
      <c r="A22" s="13" t="s">
        <v>126</v>
      </c>
      <c r="B22" s="13" t="s">
        <v>127</v>
      </c>
      <c r="C22" s="13" t="s">
        <v>90</v>
      </c>
      <c r="D22" s="37"/>
      <c r="E22" s="37">
        <f>SUM(E16*E10)</f>
        <v>5737.5</v>
      </c>
      <c r="F22" s="37">
        <f t="shared" ref="F22:AC22" si="3">SUM(F16*F10)</f>
        <v>5708.8125</v>
      </c>
      <c r="G22" s="37">
        <f t="shared" si="3"/>
        <v>5680.2684374999999</v>
      </c>
      <c r="H22" s="37">
        <f t="shared" si="3"/>
        <v>5651.8670953125002</v>
      </c>
      <c r="I22" s="37">
        <f t="shared" si="3"/>
        <v>5623.6077598359379</v>
      </c>
      <c r="J22" s="37">
        <f t="shared" si="3"/>
        <v>5595.4897210367581</v>
      </c>
      <c r="K22" s="37">
        <f t="shared" si="3"/>
        <v>5567.5122724315743</v>
      </c>
      <c r="L22" s="37">
        <f t="shared" si="3"/>
        <v>5539.6747110694168</v>
      </c>
      <c r="M22" s="37">
        <f t="shared" si="3"/>
        <v>5511.9763375140701</v>
      </c>
      <c r="N22" s="37">
        <f t="shared" si="3"/>
        <v>5484.4164558265002</v>
      </c>
      <c r="O22" s="37">
        <f t="shared" si="3"/>
        <v>5456.9943735473671</v>
      </c>
      <c r="P22" s="37">
        <f t="shared" si="3"/>
        <v>5429.70940167963</v>
      </c>
      <c r="Q22" s="37">
        <f t="shared" si="3"/>
        <v>5402.5608546712319</v>
      </c>
      <c r="R22" s="37">
        <f t="shared" si="3"/>
        <v>5375.5480503978752</v>
      </c>
      <c r="S22" s="37">
        <f t="shared" si="3"/>
        <v>5348.6703101458861</v>
      </c>
      <c r="T22" s="37">
        <f t="shared" si="3"/>
        <v>5321.926958595157</v>
      </c>
      <c r="U22" s="37">
        <f t="shared" si="3"/>
        <v>5295.3173238021809</v>
      </c>
      <c r="V22" s="37">
        <f t="shared" si="3"/>
        <v>5268.8407371831699</v>
      </c>
      <c r="W22" s="37">
        <f t="shared" si="3"/>
        <v>5242.4965334972539</v>
      </c>
      <c r="X22" s="37">
        <f t="shared" si="3"/>
        <v>5216.2840508297677</v>
      </c>
      <c r="Y22" s="37">
        <f t="shared" si="3"/>
        <v>5190.2026305756181</v>
      </c>
      <c r="Z22" s="37">
        <f>SUM(Z16*Z10)</f>
        <v>5164.2516174227403</v>
      </c>
      <c r="AA22" s="37">
        <f t="shared" si="3"/>
        <v>5138.4303593356262</v>
      </c>
      <c r="AB22" s="37">
        <f t="shared" si="3"/>
        <v>5112.7382075389487</v>
      </c>
      <c r="AC22" s="37">
        <f t="shared" si="3"/>
        <v>5087.1745165012535</v>
      </c>
    </row>
    <row r="23" spans="1:29">
      <c r="A23" s="14" t="s">
        <v>128</v>
      </c>
      <c r="B23" s="14" t="s">
        <v>129</v>
      </c>
      <c r="C23" s="14" t="s">
        <v>90</v>
      </c>
      <c r="D23" s="38"/>
      <c r="E23" s="38">
        <f>SUM(E22-E18)</f>
        <v>1434.375</v>
      </c>
      <c r="F23" s="38">
        <f t="shared" ref="F23:AC23" si="4">SUM(F22-F18)</f>
        <v>1427.203125</v>
      </c>
      <c r="G23" s="38">
        <f t="shared" si="4"/>
        <v>1420.0671093749997</v>
      </c>
      <c r="H23" s="38">
        <f t="shared" si="4"/>
        <v>1412.966773828125</v>
      </c>
      <c r="I23" s="38">
        <f t="shared" si="4"/>
        <v>1405.9019399589843</v>
      </c>
      <c r="J23" s="38">
        <f t="shared" si="4"/>
        <v>1398.8724302591891</v>
      </c>
      <c r="K23" s="38">
        <f t="shared" si="4"/>
        <v>1391.8780681078933</v>
      </c>
      <c r="L23" s="38">
        <f t="shared" si="4"/>
        <v>1384.918677767354</v>
      </c>
      <c r="M23" s="38">
        <f t="shared" si="4"/>
        <v>1377.9940843785171</v>
      </c>
      <c r="N23" s="38">
        <f t="shared" si="4"/>
        <v>1371.104113956625</v>
      </c>
      <c r="O23" s="38">
        <f t="shared" si="4"/>
        <v>1364.248593386842</v>
      </c>
      <c r="P23" s="38">
        <f t="shared" si="4"/>
        <v>1357.4273504199073</v>
      </c>
      <c r="Q23" s="38">
        <f t="shared" si="4"/>
        <v>1350.640213667808</v>
      </c>
      <c r="R23" s="38">
        <f t="shared" si="4"/>
        <v>1343.887012599469</v>
      </c>
      <c r="S23" s="38">
        <f t="shared" si="4"/>
        <v>1337.1675775364715</v>
      </c>
      <c r="T23" s="38">
        <f t="shared" si="4"/>
        <v>1330.4817396487892</v>
      </c>
      <c r="U23" s="38">
        <f t="shared" si="4"/>
        <v>1323.8293309505452</v>
      </c>
      <c r="V23" s="38">
        <f t="shared" si="4"/>
        <v>1317.2101842957927</v>
      </c>
      <c r="W23" s="38">
        <f t="shared" si="4"/>
        <v>1310.6241333743137</v>
      </c>
      <c r="X23" s="38">
        <f t="shared" si="4"/>
        <v>1304.0710127074417</v>
      </c>
      <c r="Y23" s="38">
        <f t="shared" si="4"/>
        <v>1297.5506576439047</v>
      </c>
      <c r="Z23" s="38">
        <f t="shared" si="4"/>
        <v>1291.0629043556851</v>
      </c>
      <c r="AA23" s="38">
        <f t="shared" si="4"/>
        <v>1284.6075898339068</v>
      </c>
      <c r="AB23" s="38">
        <f t="shared" si="4"/>
        <v>1278.1845518847372</v>
      </c>
      <c r="AC23" s="38">
        <f t="shared" si="4"/>
        <v>1271.7936291253136</v>
      </c>
    </row>
    <row r="24" spans="1:29">
      <c r="A24" s="9" t="s">
        <v>130</v>
      </c>
      <c r="B24" s="9" t="s">
        <v>131</v>
      </c>
      <c r="C24" s="9" t="s">
        <v>90</v>
      </c>
      <c r="D24" s="32">
        <f>SUM(D13*Inputs!$C$12)</f>
        <v>45000</v>
      </c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</row>
    <row r="25" spans="1:29">
      <c r="A25" s="9" t="s">
        <v>132</v>
      </c>
      <c r="B25" s="9" t="s">
        <v>133</v>
      </c>
      <c r="C25" s="9" t="s">
        <v>90</v>
      </c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>
        <f>SUM(D13*Inputs!$C$13)</f>
        <v>1350</v>
      </c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</row>
    <row r="26" spans="1:29">
      <c r="A26" s="9" t="s">
        <v>134</v>
      </c>
      <c r="B26" s="9" t="s">
        <v>135</v>
      </c>
      <c r="C26" s="9" t="s">
        <v>90</v>
      </c>
      <c r="D26" s="32">
        <f>SUM(D13*Inputs!$C$14)</f>
        <v>0</v>
      </c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</row>
    <row r="27" spans="1:29">
      <c r="A27" s="9" t="s">
        <v>136</v>
      </c>
      <c r="B27" s="9" t="s">
        <v>137</v>
      </c>
      <c r="C27" s="9" t="s">
        <v>90</v>
      </c>
      <c r="D27" s="32">
        <f>SUM(Inputs!$C$2*Inputs!$C$18)</f>
        <v>3000</v>
      </c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</row>
    <row r="28" spans="1:29">
      <c r="A28" s="9" t="s">
        <v>138</v>
      </c>
      <c r="B28" s="9" t="s">
        <v>139</v>
      </c>
      <c r="C28" s="9" t="s">
        <v>90</v>
      </c>
      <c r="D28" s="32"/>
      <c r="E28" s="32">
        <f>SUM($D$13*Inputs!$C$22)</f>
        <v>450</v>
      </c>
      <c r="F28" s="32">
        <f>SUM($D$13*Inputs!$C$22)</f>
        <v>450</v>
      </c>
      <c r="G28" s="32">
        <f>SUM($D$13*Inputs!$C$22)</f>
        <v>450</v>
      </c>
      <c r="H28" s="32">
        <f>SUM($D$13*Inputs!$C$22)</f>
        <v>450</v>
      </c>
      <c r="I28" s="32">
        <f>SUM($D$13*Inputs!$C$22)</f>
        <v>450</v>
      </c>
      <c r="J28" s="32">
        <f>SUM($D$13*Inputs!$C$22)</f>
        <v>450</v>
      </c>
      <c r="K28" s="32">
        <f>SUM($D$13*Inputs!$C$22)</f>
        <v>450</v>
      </c>
      <c r="L28" s="32">
        <f>SUM($D$13*Inputs!$C$22)</f>
        <v>450</v>
      </c>
      <c r="M28" s="32">
        <f>SUM($D$13*Inputs!$C$22)</f>
        <v>450</v>
      </c>
      <c r="N28" s="32">
        <f>SUM($D$13*Inputs!$C$22)</f>
        <v>450</v>
      </c>
      <c r="O28" s="32">
        <f>SUM($D$13*Inputs!$C$22)</f>
        <v>450</v>
      </c>
      <c r="P28" s="32">
        <f>SUM($D$13*Inputs!$C$22)</f>
        <v>450</v>
      </c>
      <c r="Q28" s="32">
        <f>SUM($D$13*Inputs!$C$22)</f>
        <v>450</v>
      </c>
      <c r="R28" s="32">
        <f>SUM($D$13*Inputs!$C$22)</f>
        <v>450</v>
      </c>
      <c r="S28" s="32">
        <f>SUM($D$13*Inputs!$C$22)</f>
        <v>450</v>
      </c>
      <c r="T28" s="32">
        <f>SUM($D$13*Inputs!$C$22)</f>
        <v>450</v>
      </c>
      <c r="U28" s="32">
        <f>SUM($D$13*Inputs!$C$22)</f>
        <v>450</v>
      </c>
      <c r="V28" s="32">
        <f>SUM($D$13*Inputs!$C$22)</f>
        <v>450</v>
      </c>
      <c r="W28" s="32">
        <f>SUM($D$13*Inputs!$C$22)</f>
        <v>450</v>
      </c>
      <c r="X28" s="32">
        <f>SUM($D$13*Inputs!$C$22)</f>
        <v>450</v>
      </c>
      <c r="Y28" s="32">
        <f>SUM($D$13*Inputs!$C$22)</f>
        <v>450</v>
      </c>
      <c r="Z28" s="32">
        <f>SUM($D$13*Inputs!$C$22)</f>
        <v>450</v>
      </c>
      <c r="AA28" s="32">
        <f>SUM($D$13*Inputs!$C$22)</f>
        <v>450</v>
      </c>
      <c r="AB28" s="32">
        <f>SUM($D$13*Inputs!$C$22)</f>
        <v>450</v>
      </c>
      <c r="AC28" s="32">
        <f>SUM($D$13*Inputs!$C$22)</f>
        <v>450</v>
      </c>
    </row>
    <row r="29" spans="1:29">
      <c r="A29" s="9" t="s">
        <v>140</v>
      </c>
      <c r="B29" s="9" t="s">
        <v>141</v>
      </c>
      <c r="C29" s="9" t="s">
        <v>90</v>
      </c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>
        <f>SUM(D13*Inputs!$C$27)</f>
        <v>13500</v>
      </c>
    </row>
    <row r="30" spans="1:29">
      <c r="A30" s="15" t="s">
        <v>142</v>
      </c>
      <c r="B30" s="15" t="s">
        <v>143</v>
      </c>
      <c r="C30" s="15" t="s">
        <v>90</v>
      </c>
      <c r="D30" s="39">
        <f>SUM(D24:D29)</f>
        <v>48000</v>
      </c>
      <c r="E30" s="39">
        <f t="shared" ref="E30:AC30" si="5">SUM(E24:E29)</f>
        <v>450</v>
      </c>
      <c r="F30" s="39">
        <f t="shared" si="5"/>
        <v>450</v>
      </c>
      <c r="G30" s="39">
        <f t="shared" si="5"/>
        <v>450</v>
      </c>
      <c r="H30" s="39">
        <f t="shared" si="5"/>
        <v>450</v>
      </c>
      <c r="I30" s="39">
        <f t="shared" si="5"/>
        <v>450</v>
      </c>
      <c r="J30" s="39">
        <f t="shared" si="5"/>
        <v>450</v>
      </c>
      <c r="K30" s="39">
        <f t="shared" si="5"/>
        <v>450</v>
      </c>
      <c r="L30" s="39">
        <f t="shared" si="5"/>
        <v>450</v>
      </c>
      <c r="M30" s="39">
        <f t="shared" si="5"/>
        <v>450</v>
      </c>
      <c r="N30" s="39">
        <f t="shared" si="5"/>
        <v>450</v>
      </c>
      <c r="O30" s="39">
        <f t="shared" si="5"/>
        <v>450</v>
      </c>
      <c r="P30" s="39">
        <f t="shared" si="5"/>
        <v>450</v>
      </c>
      <c r="Q30" s="39">
        <f t="shared" si="5"/>
        <v>1800</v>
      </c>
      <c r="R30" s="39">
        <f t="shared" si="5"/>
        <v>450</v>
      </c>
      <c r="S30" s="39">
        <f t="shared" si="5"/>
        <v>450</v>
      </c>
      <c r="T30" s="39">
        <f t="shared" si="5"/>
        <v>450</v>
      </c>
      <c r="U30" s="39">
        <f t="shared" si="5"/>
        <v>450</v>
      </c>
      <c r="V30" s="39">
        <f t="shared" si="5"/>
        <v>450</v>
      </c>
      <c r="W30" s="39">
        <f t="shared" si="5"/>
        <v>450</v>
      </c>
      <c r="X30" s="39">
        <f t="shared" si="5"/>
        <v>450</v>
      </c>
      <c r="Y30" s="39">
        <f t="shared" si="5"/>
        <v>450</v>
      </c>
      <c r="Z30" s="39">
        <f t="shared" si="5"/>
        <v>450</v>
      </c>
      <c r="AA30" s="39">
        <f t="shared" si="5"/>
        <v>450</v>
      </c>
      <c r="AB30" s="39">
        <f t="shared" si="5"/>
        <v>450</v>
      </c>
      <c r="AC30" s="39">
        <f t="shared" si="5"/>
        <v>13950</v>
      </c>
    </row>
    <row r="31" spans="1:29">
      <c r="A31" s="24"/>
      <c r="B31" s="24"/>
      <c r="C31" s="24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</row>
    <row r="32" spans="1:29">
      <c r="A32" s="10" t="s">
        <v>144</v>
      </c>
      <c r="B32" s="10" t="s">
        <v>107</v>
      </c>
      <c r="C32" s="10" t="s">
        <v>20</v>
      </c>
      <c r="D32" s="33">
        <f>SUM(Inputs!$C$3*Inputs!$C$7)</f>
        <v>105</v>
      </c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</row>
    <row r="33" spans="1:29">
      <c r="A33" s="10" t="s">
        <v>145</v>
      </c>
      <c r="B33" s="10" t="s">
        <v>109</v>
      </c>
      <c r="C33" s="10" t="s">
        <v>110</v>
      </c>
      <c r="D33" s="33">
        <f>SUM(D32*Inputs!$C$10)</f>
        <v>89250</v>
      </c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</row>
    <row r="34" spans="1:29">
      <c r="A34" s="10" t="s">
        <v>146</v>
      </c>
      <c r="B34" s="10" t="s">
        <v>112</v>
      </c>
      <c r="C34" s="10" t="s">
        <v>110</v>
      </c>
      <c r="D34" s="33"/>
      <c r="E34" s="33">
        <f>D33</f>
        <v>89250</v>
      </c>
      <c r="F34" s="33">
        <f>SUM(E34*(1-Inputs!$C$11/100))</f>
        <v>88803.75</v>
      </c>
      <c r="G34" s="33">
        <f>SUM(F34*(1-Inputs!$C$11/100))</f>
        <v>88359.731249999997</v>
      </c>
      <c r="H34" s="33">
        <f>SUM(G34*(1-Inputs!$C$11/100))</f>
        <v>87917.932593749996</v>
      </c>
      <c r="I34" s="33">
        <f>SUM(H34*(1-Inputs!$C$11/100))</f>
        <v>87478.342930781248</v>
      </c>
      <c r="J34" s="33">
        <f>SUM(I34*(1-Inputs!$C$11/100))</f>
        <v>87040.951216127345</v>
      </c>
      <c r="K34" s="33">
        <f>SUM(J34*(1-Inputs!$C$11/100))</f>
        <v>86605.746460046706</v>
      </c>
      <c r="L34" s="33">
        <f>SUM(K34*(1-Inputs!$C$11/100))</f>
        <v>86172.71772774648</v>
      </c>
      <c r="M34" s="33">
        <f>SUM(L34*(1-Inputs!$C$11/100))</f>
        <v>85741.854139107745</v>
      </c>
      <c r="N34" s="33">
        <f>SUM(M34*(1-Inputs!$C$11/100))</f>
        <v>85313.144868412201</v>
      </c>
      <c r="O34" s="33">
        <f>SUM(N34*(1-Inputs!$C$11/100))</f>
        <v>84886.579144070143</v>
      </c>
      <c r="P34" s="33">
        <f>SUM(O34*(1-Inputs!$C$11/100))</f>
        <v>84462.146248349789</v>
      </c>
      <c r="Q34" s="33">
        <f>SUM(P34*(1-Inputs!$C$11/100))</f>
        <v>84039.835517108033</v>
      </c>
      <c r="R34" s="33">
        <f>SUM(Q34*(1-Inputs!$C$11/100))</f>
        <v>83619.636339522491</v>
      </c>
      <c r="S34" s="33">
        <f>SUM(R34*(1-Inputs!$C$11/100))</f>
        <v>83201.538157824878</v>
      </c>
      <c r="T34" s="33">
        <f>SUM(S34*(1-Inputs!$C$11/100))</f>
        <v>82785.530467035758</v>
      </c>
      <c r="U34" s="33">
        <f>SUM(T34*(1-Inputs!$C$11/100))</f>
        <v>82371.602814700585</v>
      </c>
      <c r="V34" s="33">
        <f>SUM(U34*(1-Inputs!$C$11/100))</f>
        <v>81959.744800627086</v>
      </c>
      <c r="W34" s="33">
        <f>SUM(V34*(1-Inputs!$C$11/100))</f>
        <v>81549.94607662395</v>
      </c>
      <c r="X34" s="33">
        <f>SUM(W34*(1-Inputs!$C$11/100))</f>
        <v>81142.196346240831</v>
      </c>
      <c r="Y34" s="33">
        <f>SUM(X34*(1-Inputs!$C$11/100))</f>
        <v>80736.48536450963</v>
      </c>
      <c r="Z34" s="33">
        <f>SUM(Y34*(1-Inputs!$C$11/100))</f>
        <v>80332.802937687084</v>
      </c>
      <c r="AA34" s="33">
        <f>SUM(Z34*(1-Inputs!$C$11/100))</f>
        <v>79931.138922998653</v>
      </c>
      <c r="AB34" s="33">
        <f>SUM(AA34*(1-Inputs!$C$11/100))</f>
        <v>79531.483228383659</v>
      </c>
      <c r="AC34" s="33">
        <f>SUM(AB34*(1-Inputs!$C$11/100))</f>
        <v>79133.825812241746</v>
      </c>
    </row>
    <row r="35" spans="1:29">
      <c r="A35" s="10" t="s">
        <v>147</v>
      </c>
      <c r="B35" s="10" t="s">
        <v>114</v>
      </c>
      <c r="C35" s="10" t="s">
        <v>110</v>
      </c>
      <c r="D35" s="33"/>
      <c r="E35" s="33">
        <f>SUM(E34*(Inputs!$C$38/100)*(Inputs!$C$39/100))</f>
        <v>53550</v>
      </c>
      <c r="F35" s="33">
        <f>SUM(F34*(Inputs!$C$38/100)*(Inputs!$C$39/100))</f>
        <v>53282.25</v>
      </c>
      <c r="G35" s="33">
        <f>SUM(G34*(Inputs!$C$38/100)*(Inputs!$C$39/100))</f>
        <v>53015.838749999995</v>
      </c>
      <c r="H35" s="33">
        <f>SUM(H34*(Inputs!$C$38/100)*(Inputs!$C$39/100))</f>
        <v>52750.759556249999</v>
      </c>
      <c r="I35" s="33">
        <f>SUM(I34*(Inputs!$C$38/100)*(Inputs!$C$39/100))</f>
        <v>52487.005758468746</v>
      </c>
      <c r="J35" s="33">
        <f>SUM(J34*(Inputs!$C$38/100)*(Inputs!$C$39/100))</f>
        <v>52224.570729676409</v>
      </c>
      <c r="K35" s="33">
        <f>SUM(K34*(Inputs!$C$38/100)*(Inputs!$C$39/100))</f>
        <v>51963.447876028025</v>
      </c>
      <c r="L35" s="33">
        <f>SUM(L34*(Inputs!$C$38/100)*(Inputs!$C$39/100))</f>
        <v>51703.630636647889</v>
      </c>
      <c r="M35" s="33">
        <f>SUM(M34*(Inputs!$C$38/100)*(Inputs!$C$39/100))</f>
        <v>51445.112483464647</v>
      </c>
      <c r="N35" s="33">
        <f>SUM(N34*(Inputs!$C$38/100)*(Inputs!$C$39/100))</f>
        <v>51187.88692104732</v>
      </c>
      <c r="O35" s="33">
        <f>SUM(O34*(Inputs!$C$38/100)*(Inputs!$C$39/100))</f>
        <v>50931.947486442084</v>
      </c>
      <c r="P35" s="33">
        <f>SUM(P34*(Inputs!$C$38/100)*(Inputs!$C$39/100))</f>
        <v>50677.287749009869</v>
      </c>
      <c r="Q35" s="33">
        <f>SUM(Q34*(Inputs!$C$38/100)*(Inputs!$C$39/100))</f>
        <v>50423.901310264817</v>
      </c>
      <c r="R35" s="33">
        <f>SUM(R34*(Inputs!$C$38/100)*(Inputs!$C$39/100))</f>
        <v>50171.781803713493</v>
      </c>
      <c r="S35" s="33">
        <f>SUM(S34*(Inputs!$C$38/100)*(Inputs!$C$39/100))</f>
        <v>49920.922894694922</v>
      </c>
      <c r="T35" s="33">
        <f>SUM(T34*(Inputs!$C$38/100)*(Inputs!$C$39/100))</f>
        <v>49671.318280221451</v>
      </c>
      <c r="U35" s="33">
        <f>SUM(U34*(Inputs!$C$38/100)*(Inputs!$C$39/100))</f>
        <v>49422.961688820353</v>
      </c>
      <c r="V35" s="33">
        <f>SUM(V34*(Inputs!$C$38/100)*(Inputs!$C$39/100))</f>
        <v>49175.846880376252</v>
      </c>
      <c r="W35" s="33">
        <f>SUM(W34*(Inputs!$C$38/100)*(Inputs!$C$39/100))</f>
        <v>48929.967645974371</v>
      </c>
      <c r="X35" s="33">
        <f>SUM(X34*(Inputs!$C$38/100)*(Inputs!$C$39/100))</f>
        <v>48685.317807744497</v>
      </c>
      <c r="Y35" s="33">
        <f>SUM(Y34*(Inputs!$C$38/100)*(Inputs!$C$39/100))</f>
        <v>48441.891218705779</v>
      </c>
      <c r="Z35" s="33">
        <f>SUM(Z34*(Inputs!$C$38/100)*(Inputs!$C$39/100))</f>
        <v>48199.68176261225</v>
      </c>
      <c r="AA35" s="33">
        <f>SUM(AA34*(Inputs!$C$38/100)*(Inputs!$C$39/100))</f>
        <v>47958.683353799192</v>
      </c>
      <c r="AB35" s="33">
        <f>SUM(AB34*(Inputs!$C$38/100)*(Inputs!$C$39/100))</f>
        <v>47718.889937030195</v>
      </c>
      <c r="AC35" s="33">
        <f>SUM(AC34*(Inputs!$C$38/100)*(Inputs!$C$39/100))</f>
        <v>47480.295487345044</v>
      </c>
    </row>
    <row r="36" spans="1:29">
      <c r="A36" s="10" t="s">
        <v>148</v>
      </c>
      <c r="B36" s="10" t="s">
        <v>116</v>
      </c>
      <c r="C36" s="10" t="s">
        <v>110</v>
      </c>
      <c r="D36" s="33"/>
      <c r="E36" s="33">
        <f>SUM(E34-E35)</f>
        <v>35700</v>
      </c>
      <c r="F36" s="33">
        <f t="shared" ref="F36:AC36" si="6">SUM(F34-F35)</f>
        <v>35521.5</v>
      </c>
      <c r="G36" s="33">
        <f t="shared" si="6"/>
        <v>35343.892500000002</v>
      </c>
      <c r="H36" s="33">
        <f t="shared" si="6"/>
        <v>35167.173037499997</v>
      </c>
      <c r="I36" s="33">
        <f t="shared" si="6"/>
        <v>34991.337172312502</v>
      </c>
      <c r="J36" s="33">
        <f t="shared" si="6"/>
        <v>34816.380486450937</v>
      </c>
      <c r="K36" s="33">
        <f t="shared" si="6"/>
        <v>34642.298584018681</v>
      </c>
      <c r="L36" s="33">
        <f t="shared" si="6"/>
        <v>34469.08709109859</v>
      </c>
      <c r="M36" s="33">
        <f t="shared" si="6"/>
        <v>34296.741655643098</v>
      </c>
      <c r="N36" s="33">
        <f t="shared" si="6"/>
        <v>34125.25794736488</v>
      </c>
      <c r="O36" s="33">
        <f t="shared" si="6"/>
        <v>33954.631657628059</v>
      </c>
      <c r="P36" s="33">
        <f t="shared" si="6"/>
        <v>33784.85849933992</v>
      </c>
      <c r="Q36" s="33">
        <f t="shared" si="6"/>
        <v>33615.934206843216</v>
      </c>
      <c r="R36" s="33">
        <f t="shared" si="6"/>
        <v>33447.854535808998</v>
      </c>
      <c r="S36" s="33">
        <f t="shared" si="6"/>
        <v>33280.615263129956</v>
      </c>
      <c r="T36" s="33">
        <f t="shared" si="6"/>
        <v>33114.212186814308</v>
      </c>
      <c r="U36" s="33">
        <f t="shared" si="6"/>
        <v>32948.641125880233</v>
      </c>
      <c r="V36" s="33">
        <f t="shared" si="6"/>
        <v>32783.897920250834</v>
      </c>
      <c r="W36" s="33">
        <f t="shared" si="6"/>
        <v>32619.978430649579</v>
      </c>
      <c r="X36" s="33">
        <f t="shared" si="6"/>
        <v>32456.878538496334</v>
      </c>
      <c r="Y36" s="33">
        <f t="shared" si="6"/>
        <v>32294.594145803851</v>
      </c>
      <c r="Z36" s="33">
        <f t="shared" si="6"/>
        <v>32133.121175074833</v>
      </c>
      <c r="AA36" s="33">
        <f t="shared" si="6"/>
        <v>31972.455569199461</v>
      </c>
      <c r="AB36" s="33">
        <f t="shared" si="6"/>
        <v>31812.593291353463</v>
      </c>
      <c r="AC36" s="33">
        <f t="shared" si="6"/>
        <v>31653.530324896703</v>
      </c>
    </row>
    <row r="37" spans="1:29">
      <c r="A37" s="11" t="s">
        <v>149</v>
      </c>
      <c r="B37" s="11" t="s">
        <v>118</v>
      </c>
      <c r="C37" s="11" t="s">
        <v>90</v>
      </c>
      <c r="D37" s="34"/>
      <c r="E37" s="34">
        <f>SUM(E35*E11)</f>
        <v>10040.625</v>
      </c>
      <c r="F37" s="34">
        <f t="shared" ref="F37:AC37" si="7">SUM(F35*F11)</f>
        <v>9990.421875</v>
      </c>
      <c r="G37" s="34">
        <f t="shared" si="7"/>
        <v>9940.4697656249991</v>
      </c>
      <c r="H37" s="34">
        <f t="shared" si="7"/>
        <v>9890.7674167968744</v>
      </c>
      <c r="I37" s="34">
        <f t="shared" si="7"/>
        <v>9841.3135797128889</v>
      </c>
      <c r="J37" s="34">
        <f t="shared" si="7"/>
        <v>9792.1070118143271</v>
      </c>
      <c r="K37" s="34">
        <f t="shared" si="7"/>
        <v>9743.1464767552552</v>
      </c>
      <c r="L37" s="34">
        <f t="shared" si="7"/>
        <v>9694.4307443714788</v>
      </c>
      <c r="M37" s="34">
        <f t="shared" si="7"/>
        <v>9645.9585906496213</v>
      </c>
      <c r="N37" s="34">
        <f t="shared" si="7"/>
        <v>9597.7287976963726</v>
      </c>
      <c r="O37" s="34">
        <f t="shared" si="7"/>
        <v>9549.7401537078913</v>
      </c>
      <c r="P37" s="34">
        <f t="shared" si="7"/>
        <v>9501.99145293935</v>
      </c>
      <c r="Q37" s="34">
        <f t="shared" si="7"/>
        <v>9454.4814956746523</v>
      </c>
      <c r="R37" s="34">
        <f t="shared" si="7"/>
        <v>9407.2090881962795</v>
      </c>
      <c r="S37" s="34">
        <f t="shared" si="7"/>
        <v>9360.1730427552975</v>
      </c>
      <c r="T37" s="34">
        <f t="shared" si="7"/>
        <v>9313.3721775415215</v>
      </c>
      <c r="U37" s="34">
        <f t="shared" si="7"/>
        <v>9266.8053166538157</v>
      </c>
      <c r="V37" s="34">
        <f t="shared" si="7"/>
        <v>9220.4712900705472</v>
      </c>
      <c r="W37" s="34">
        <f t="shared" si="7"/>
        <v>9174.3689336201951</v>
      </c>
      <c r="X37" s="34">
        <f t="shared" si="7"/>
        <v>9128.4970889520937</v>
      </c>
      <c r="Y37" s="34">
        <f t="shared" si="7"/>
        <v>9082.8546035073341</v>
      </c>
      <c r="Z37" s="34">
        <f t="shared" si="7"/>
        <v>9037.4403304897969</v>
      </c>
      <c r="AA37" s="34">
        <f t="shared" si="7"/>
        <v>8992.2531288373484</v>
      </c>
      <c r="AB37" s="34">
        <f t="shared" si="7"/>
        <v>8947.2918631931607</v>
      </c>
      <c r="AC37" s="34">
        <f t="shared" si="7"/>
        <v>8902.5554038771952</v>
      </c>
    </row>
    <row r="38" spans="1:29">
      <c r="A38" s="11" t="s">
        <v>150</v>
      </c>
      <c r="B38" s="11" t="s">
        <v>120</v>
      </c>
      <c r="C38" s="11" t="s">
        <v>90</v>
      </c>
      <c r="D38" s="34"/>
      <c r="E38" s="34">
        <f>SUM(E36*Inputs!$C$40/100)</f>
        <v>2142</v>
      </c>
      <c r="F38" s="34">
        <f>SUM(F36*Inputs!$C$40/100)</f>
        <v>2131.29</v>
      </c>
      <c r="G38" s="34">
        <f>SUM(G36*Inputs!$C$40/100)</f>
        <v>2120.63355</v>
      </c>
      <c r="H38" s="34">
        <f>SUM(H36*Inputs!$C$40/100)</f>
        <v>2110.0303822499995</v>
      </c>
      <c r="I38" s="34">
        <f>SUM(I36*Inputs!$C$40/100)</f>
        <v>2099.4802303387501</v>
      </c>
      <c r="J38" s="34">
        <f>SUM(J36*Inputs!$C$40/100)</f>
        <v>2088.9828291870563</v>
      </c>
      <c r="K38" s="34">
        <f>SUM(K36*Inputs!$C$40/100)</f>
        <v>2078.5379150411209</v>
      </c>
      <c r="L38" s="34">
        <f>SUM(L36*Inputs!$C$40/100)</f>
        <v>2068.1452254659152</v>
      </c>
      <c r="M38" s="34">
        <f>SUM(M36*Inputs!$C$40/100)</f>
        <v>2057.8044993385861</v>
      </c>
      <c r="N38" s="34">
        <f>SUM(N36*Inputs!$C$40/100)</f>
        <v>2047.5154768418929</v>
      </c>
      <c r="O38" s="34">
        <f>SUM(O36*Inputs!$C$40/100)</f>
        <v>2037.2778994576836</v>
      </c>
      <c r="P38" s="34">
        <f>SUM(P36*Inputs!$C$40/100)</f>
        <v>2027.0915099603951</v>
      </c>
      <c r="Q38" s="34">
        <f>SUM(Q36*Inputs!$C$40/100)</f>
        <v>2016.956052410593</v>
      </c>
      <c r="R38" s="34">
        <f>SUM(R36*Inputs!$C$40/100)</f>
        <v>2006.8712721485399</v>
      </c>
      <c r="S38" s="34">
        <f>SUM(S36*Inputs!$C$40/100)</f>
        <v>1996.8369157877971</v>
      </c>
      <c r="T38" s="34">
        <f>SUM(T36*Inputs!$C$40/100)</f>
        <v>1986.8527312088584</v>
      </c>
      <c r="U38" s="34">
        <f>SUM(U36*Inputs!$C$40/100)</f>
        <v>1976.9184675528138</v>
      </c>
      <c r="V38" s="34">
        <f>SUM(V36*Inputs!$C$40/100)</f>
        <v>1967.0338752150501</v>
      </c>
      <c r="W38" s="34">
        <f>SUM(W36*Inputs!$C$40/100)</f>
        <v>1957.1987058389745</v>
      </c>
      <c r="X38" s="34">
        <f>SUM(X36*Inputs!$C$40/100)</f>
        <v>1947.4127123097801</v>
      </c>
      <c r="Y38" s="34">
        <f>SUM(Y36*Inputs!$C$40/100)</f>
        <v>1937.675648748231</v>
      </c>
      <c r="Z38" s="34">
        <f>SUM(Z36*Inputs!$C$40/100)</f>
        <v>1927.98727050449</v>
      </c>
      <c r="AA38" s="34">
        <f>SUM(AA36*Inputs!$C$40/100)</f>
        <v>1918.3473341519677</v>
      </c>
      <c r="AB38" s="34">
        <f>SUM(AB36*Inputs!$C$40/100)</f>
        <v>1908.7555974812078</v>
      </c>
      <c r="AC38" s="34">
        <f>SUM(AC36*Inputs!$C$40/100)</f>
        <v>1899.2118194938021</v>
      </c>
    </row>
    <row r="39" spans="1:29">
      <c r="A39" s="12" t="s">
        <v>151</v>
      </c>
      <c r="B39" s="12" t="s">
        <v>122</v>
      </c>
      <c r="C39" s="12" t="s">
        <v>90</v>
      </c>
      <c r="D39" s="35"/>
      <c r="E39" s="35">
        <f>SUM(E37:E38)</f>
        <v>12182.625</v>
      </c>
      <c r="F39" s="35">
        <f t="shared" ref="F39:AC39" si="8">SUM(F37:F38)</f>
        <v>12121.711875000001</v>
      </c>
      <c r="G39" s="35">
        <f t="shared" si="8"/>
        <v>12061.103315625</v>
      </c>
      <c r="H39" s="35">
        <f t="shared" si="8"/>
        <v>12000.797799046873</v>
      </c>
      <c r="I39" s="35">
        <f t="shared" si="8"/>
        <v>11940.793810051639</v>
      </c>
      <c r="J39" s="35">
        <f t="shared" si="8"/>
        <v>11881.089841001383</v>
      </c>
      <c r="K39" s="35">
        <f t="shared" si="8"/>
        <v>11821.684391796376</v>
      </c>
      <c r="L39" s="35">
        <f t="shared" si="8"/>
        <v>11762.575969837395</v>
      </c>
      <c r="M39" s="35">
        <f t="shared" si="8"/>
        <v>11703.763089988208</v>
      </c>
      <c r="N39" s="35">
        <f t="shared" si="8"/>
        <v>11645.244274538265</v>
      </c>
      <c r="O39" s="35">
        <f t="shared" si="8"/>
        <v>11587.018053165575</v>
      </c>
      <c r="P39" s="35">
        <f t="shared" si="8"/>
        <v>11529.082962899745</v>
      </c>
      <c r="Q39" s="35">
        <f t="shared" si="8"/>
        <v>11471.437548085245</v>
      </c>
      <c r="R39" s="35">
        <f t="shared" si="8"/>
        <v>11414.080360344818</v>
      </c>
      <c r="S39" s="35">
        <f t="shared" si="8"/>
        <v>11357.009958543094</v>
      </c>
      <c r="T39" s="35">
        <f t="shared" si="8"/>
        <v>11300.224908750381</v>
      </c>
      <c r="U39" s="35">
        <f t="shared" si="8"/>
        <v>11243.72378420663</v>
      </c>
      <c r="V39" s="35">
        <f t="shared" si="8"/>
        <v>11187.505165285598</v>
      </c>
      <c r="W39" s="35">
        <f t="shared" si="8"/>
        <v>11131.56763945917</v>
      </c>
      <c r="X39" s="35">
        <f t="shared" si="8"/>
        <v>11075.909801261874</v>
      </c>
      <c r="Y39" s="35">
        <f t="shared" si="8"/>
        <v>11020.530252255565</v>
      </c>
      <c r="Z39" s="35">
        <f t="shared" si="8"/>
        <v>10965.427600994288</v>
      </c>
      <c r="AA39" s="35">
        <f t="shared" si="8"/>
        <v>10910.600462989316</v>
      </c>
      <c r="AB39" s="35">
        <f t="shared" si="8"/>
        <v>10856.047460674368</v>
      </c>
      <c r="AC39" s="35">
        <f t="shared" si="8"/>
        <v>10801.767223370996</v>
      </c>
    </row>
    <row r="40" spans="1:29">
      <c r="A40" s="21" t="s">
        <v>152</v>
      </c>
      <c r="B40" s="21" t="s">
        <v>124</v>
      </c>
      <c r="C40" s="21" t="s">
        <v>125</v>
      </c>
      <c r="D40" s="36"/>
      <c r="E40" s="36">
        <f>SUM(E34*Inputs!$C$41)</f>
        <v>18.479212500000003</v>
      </c>
      <c r="F40" s="36">
        <f>SUM(F34*Inputs!$C$41)</f>
        <v>18.386816437500002</v>
      </c>
      <c r="G40" s="36">
        <f>SUM(G34*Inputs!$C$41)</f>
        <v>18.294882355312502</v>
      </c>
      <c r="H40" s="36">
        <f>SUM(H34*Inputs!$C$41)</f>
        <v>18.203407943535939</v>
      </c>
      <c r="I40" s="36">
        <f>SUM(I34*Inputs!$C$41)</f>
        <v>18.112390903818259</v>
      </c>
      <c r="J40" s="36">
        <f>SUM(J34*Inputs!$C$41)</f>
        <v>18.02182894929917</v>
      </c>
      <c r="K40" s="36">
        <f>SUM(K34*Inputs!$C$41)</f>
        <v>17.931719804552671</v>
      </c>
      <c r="L40" s="36">
        <f>SUM(L34*Inputs!$C$41)</f>
        <v>17.842061205529909</v>
      </c>
      <c r="M40" s="36">
        <f>SUM(M34*Inputs!$C$41)</f>
        <v>17.75285089950226</v>
      </c>
      <c r="N40" s="36">
        <f>SUM(N34*Inputs!$C$41)</f>
        <v>17.664086645004748</v>
      </c>
      <c r="O40" s="36">
        <f>SUM(O34*Inputs!$C$41)</f>
        <v>17.575766211779726</v>
      </c>
      <c r="P40" s="36">
        <f>SUM(P34*Inputs!$C$41)</f>
        <v>17.487887380720824</v>
      </c>
      <c r="Q40" s="36">
        <f>SUM(Q34*Inputs!$C$41)</f>
        <v>17.40044794381722</v>
      </c>
      <c r="R40" s="36">
        <f>SUM(R34*Inputs!$C$41)</f>
        <v>17.313445704098132</v>
      </c>
      <c r="S40" s="36">
        <f>SUM(S34*Inputs!$C$41)</f>
        <v>17.226878475577642</v>
      </c>
      <c r="T40" s="36">
        <f>SUM(T34*Inputs!$C$41)</f>
        <v>17.140744083199756</v>
      </c>
      <c r="U40" s="36">
        <f>SUM(U34*Inputs!$C$41)</f>
        <v>17.055040362783757</v>
      </c>
      <c r="V40" s="36">
        <f>SUM(V34*Inputs!$C$41)</f>
        <v>16.969765160969839</v>
      </c>
      <c r="W40" s="36">
        <f>SUM(W34*Inputs!$C$41)</f>
        <v>16.884916335164991</v>
      </c>
      <c r="X40" s="36">
        <f>SUM(X34*Inputs!$C$41)</f>
        <v>16.800491753489165</v>
      </c>
      <c r="Y40" s="36">
        <f>SUM(Y34*Inputs!$C$41)</f>
        <v>16.716489294721722</v>
      </c>
      <c r="Z40" s="36">
        <f>SUM(Z34*Inputs!$C$41)</f>
        <v>16.632906848248112</v>
      </c>
      <c r="AA40" s="36">
        <f>SUM(AA34*Inputs!$C$41)</f>
        <v>16.549742314006874</v>
      </c>
      <c r="AB40" s="36">
        <f>SUM(AB34*Inputs!$C$41)</f>
        <v>16.466993602436837</v>
      </c>
      <c r="AC40" s="36">
        <f>SUM(AC34*Inputs!$C$41)</f>
        <v>16.384658634424657</v>
      </c>
    </row>
    <row r="41" spans="1:29">
      <c r="A41" s="13" t="s">
        <v>153</v>
      </c>
      <c r="B41" s="13" t="s">
        <v>127</v>
      </c>
      <c r="C41" s="13" t="s">
        <v>90</v>
      </c>
      <c r="D41" s="37"/>
      <c r="E41" s="37">
        <f>SUM(E35*E10)</f>
        <v>13387.5</v>
      </c>
      <c r="F41" s="37">
        <f>SUM(F35*F10)</f>
        <v>13320.5625</v>
      </c>
      <c r="G41" s="37">
        <f t="shared" ref="G41:AC41" si="9">SUM(G35*G10)</f>
        <v>13253.959687499999</v>
      </c>
      <c r="H41" s="37">
        <f t="shared" si="9"/>
        <v>13187.6898890625</v>
      </c>
      <c r="I41" s="37">
        <f t="shared" si="9"/>
        <v>13121.751439617186</v>
      </c>
      <c r="J41" s="37">
        <f t="shared" si="9"/>
        <v>13056.142682419102</v>
      </c>
      <c r="K41" s="37">
        <f t="shared" si="9"/>
        <v>12990.861969007006</v>
      </c>
      <c r="L41" s="37">
        <f t="shared" si="9"/>
        <v>12925.907659161972</v>
      </c>
      <c r="M41" s="37">
        <f t="shared" si="9"/>
        <v>12861.278120866162</v>
      </c>
      <c r="N41" s="37">
        <f t="shared" si="9"/>
        <v>12796.97173026183</v>
      </c>
      <c r="O41" s="37">
        <f t="shared" si="9"/>
        <v>12732.986871610521</v>
      </c>
      <c r="P41" s="37">
        <f t="shared" si="9"/>
        <v>12669.321937252467</v>
      </c>
      <c r="Q41" s="37">
        <f t="shared" si="9"/>
        <v>12605.975327566204</v>
      </c>
      <c r="R41" s="37">
        <f t="shared" si="9"/>
        <v>12542.945450928373</v>
      </c>
      <c r="S41" s="37">
        <f t="shared" si="9"/>
        <v>12480.230723673731</v>
      </c>
      <c r="T41" s="37">
        <f t="shared" si="9"/>
        <v>12417.829570055363</v>
      </c>
      <c r="U41" s="37">
        <f t="shared" si="9"/>
        <v>12355.740422205088</v>
      </c>
      <c r="V41" s="37">
        <f t="shared" si="9"/>
        <v>12293.961720094063</v>
      </c>
      <c r="W41" s="37">
        <f t="shared" si="9"/>
        <v>12232.491911493593</v>
      </c>
      <c r="X41" s="37">
        <f t="shared" si="9"/>
        <v>12171.329451936124</v>
      </c>
      <c r="Y41" s="37">
        <f t="shared" si="9"/>
        <v>12110.472804676445</v>
      </c>
      <c r="Z41" s="37">
        <f t="shared" si="9"/>
        <v>12049.920440653063</v>
      </c>
      <c r="AA41" s="37">
        <f t="shared" si="9"/>
        <v>11989.670838449798</v>
      </c>
      <c r="AB41" s="37">
        <f t="shared" si="9"/>
        <v>11929.722484257549</v>
      </c>
      <c r="AC41" s="37">
        <f t="shared" si="9"/>
        <v>11870.073871836261</v>
      </c>
    </row>
    <row r="42" spans="1:29">
      <c r="A42" s="14" t="s">
        <v>154</v>
      </c>
      <c r="B42" s="14" t="s">
        <v>129</v>
      </c>
      <c r="C42" s="14" t="s">
        <v>90</v>
      </c>
      <c r="D42" s="38"/>
      <c r="E42" s="38">
        <f>SUM(E41-E37)</f>
        <v>3346.875</v>
      </c>
      <c r="F42" s="38">
        <f t="shared" ref="F42:AC42" si="10">SUM(F41-F37)</f>
        <v>3330.140625</v>
      </c>
      <c r="G42" s="38">
        <f t="shared" si="10"/>
        <v>3313.4899218749997</v>
      </c>
      <c r="H42" s="38">
        <f t="shared" si="10"/>
        <v>3296.9224722656254</v>
      </c>
      <c r="I42" s="38">
        <f t="shared" si="10"/>
        <v>3280.4378599042975</v>
      </c>
      <c r="J42" s="38">
        <f t="shared" si="10"/>
        <v>3264.0356706047751</v>
      </c>
      <c r="K42" s="38">
        <f t="shared" si="10"/>
        <v>3247.7154922517511</v>
      </c>
      <c r="L42" s="38">
        <f t="shared" si="10"/>
        <v>3231.4769147904935</v>
      </c>
      <c r="M42" s="38">
        <f t="shared" si="10"/>
        <v>3215.3195302165404</v>
      </c>
      <c r="N42" s="38">
        <f t="shared" si="10"/>
        <v>3199.2429325654575</v>
      </c>
      <c r="O42" s="38">
        <f t="shared" si="10"/>
        <v>3183.2467179026298</v>
      </c>
      <c r="P42" s="38">
        <f t="shared" si="10"/>
        <v>3167.3304843131173</v>
      </c>
      <c r="Q42" s="38">
        <f t="shared" si="10"/>
        <v>3151.493831891552</v>
      </c>
      <c r="R42" s="38">
        <f t="shared" si="10"/>
        <v>3135.7363627320938</v>
      </c>
      <c r="S42" s="38">
        <f t="shared" si="10"/>
        <v>3120.0576809184331</v>
      </c>
      <c r="T42" s="38">
        <f t="shared" si="10"/>
        <v>3104.4573925138411</v>
      </c>
      <c r="U42" s="38">
        <f t="shared" si="10"/>
        <v>3088.9351055512725</v>
      </c>
      <c r="V42" s="38">
        <f t="shared" si="10"/>
        <v>3073.4904300235157</v>
      </c>
      <c r="W42" s="38">
        <f t="shared" si="10"/>
        <v>3058.1229778733978</v>
      </c>
      <c r="X42" s="38">
        <f t="shared" si="10"/>
        <v>3042.8323629840306</v>
      </c>
      <c r="Y42" s="38">
        <f t="shared" si="10"/>
        <v>3027.6182011691108</v>
      </c>
      <c r="Z42" s="38">
        <f t="shared" si="10"/>
        <v>3012.4801101632656</v>
      </c>
      <c r="AA42" s="38">
        <f t="shared" si="10"/>
        <v>2997.4177096124495</v>
      </c>
      <c r="AB42" s="38">
        <f t="shared" si="10"/>
        <v>2982.4306210643881</v>
      </c>
      <c r="AC42" s="38">
        <f t="shared" si="10"/>
        <v>2967.5184679590657</v>
      </c>
    </row>
    <row r="43" spans="1:29">
      <c r="A43" s="9" t="s">
        <v>155</v>
      </c>
      <c r="B43" s="9" t="s">
        <v>131</v>
      </c>
      <c r="C43" s="9" t="s">
        <v>90</v>
      </c>
      <c r="D43" s="32">
        <f>SUM(D32*Inputs!$C$12)</f>
        <v>105000</v>
      </c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</row>
    <row r="44" spans="1:29">
      <c r="A44" s="9" t="s">
        <v>156</v>
      </c>
      <c r="B44" s="9" t="s">
        <v>157</v>
      </c>
      <c r="C44" s="9" t="s">
        <v>90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>
        <f>SUM(D32*Inputs!$C$13)</f>
        <v>3150</v>
      </c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</row>
    <row r="45" spans="1:29">
      <c r="A45" s="9" t="s">
        <v>158</v>
      </c>
      <c r="B45" s="9" t="s">
        <v>135</v>
      </c>
      <c r="C45" s="9" t="s">
        <v>90</v>
      </c>
      <c r="D45" s="32">
        <f>SUM(D32*Inputs!$C$15)</f>
        <v>0</v>
      </c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</row>
    <row r="46" spans="1:29">
      <c r="A46" s="9" t="s">
        <v>159</v>
      </c>
      <c r="B46" s="9" t="s">
        <v>137</v>
      </c>
      <c r="C46" s="9" t="s">
        <v>90</v>
      </c>
      <c r="D46" s="32">
        <f>SUM(Inputs!$C$3*Inputs!$C$19)</f>
        <v>5250</v>
      </c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</row>
    <row r="47" spans="1:29">
      <c r="A47" s="9" t="s">
        <v>160</v>
      </c>
      <c r="B47" s="9" t="s">
        <v>139</v>
      </c>
      <c r="C47" s="9" t="s">
        <v>90</v>
      </c>
      <c r="D47" s="32"/>
      <c r="E47" s="32">
        <f>SUM($D$32*Inputs!$C$22)</f>
        <v>1050</v>
      </c>
      <c r="F47" s="32">
        <f>SUM($D$32*Inputs!$C$22)</f>
        <v>1050</v>
      </c>
      <c r="G47" s="32">
        <f>SUM($D$32*Inputs!$C$22)</f>
        <v>1050</v>
      </c>
      <c r="H47" s="32">
        <f>SUM($D$32*Inputs!$C$22)</f>
        <v>1050</v>
      </c>
      <c r="I47" s="32">
        <f>SUM($D$32*Inputs!$C$22)</f>
        <v>1050</v>
      </c>
      <c r="J47" s="32">
        <f>SUM($D$32*Inputs!$C$22)</f>
        <v>1050</v>
      </c>
      <c r="K47" s="32">
        <f>SUM($D$32*Inputs!$C$22)</f>
        <v>1050</v>
      </c>
      <c r="L47" s="32">
        <f>SUM($D$32*Inputs!$C$22)</f>
        <v>1050</v>
      </c>
      <c r="M47" s="32">
        <f>SUM($D$32*Inputs!$C$22)</f>
        <v>1050</v>
      </c>
      <c r="N47" s="32">
        <f>SUM($D$32*Inputs!$C$22)</f>
        <v>1050</v>
      </c>
      <c r="O47" s="32">
        <f>SUM($D$32*Inputs!$C$22)</f>
        <v>1050</v>
      </c>
      <c r="P47" s="32">
        <f>SUM($D$32*Inputs!$C$22)</f>
        <v>1050</v>
      </c>
      <c r="Q47" s="32">
        <f>SUM($D$32*Inputs!$C$22)</f>
        <v>1050</v>
      </c>
      <c r="R47" s="32">
        <f>SUM($D$32*Inputs!$C$22)</f>
        <v>1050</v>
      </c>
      <c r="S47" s="32">
        <f>SUM($D$32*Inputs!$C$22)</f>
        <v>1050</v>
      </c>
      <c r="T47" s="32">
        <f>SUM($D$32*Inputs!$C$22)</f>
        <v>1050</v>
      </c>
      <c r="U47" s="32">
        <f>SUM($D$32*Inputs!$C$22)</f>
        <v>1050</v>
      </c>
      <c r="V47" s="32">
        <f>SUM($D$32*Inputs!$C$22)</f>
        <v>1050</v>
      </c>
      <c r="W47" s="32">
        <f>SUM($D$32*Inputs!$C$22)</f>
        <v>1050</v>
      </c>
      <c r="X47" s="32">
        <f>SUM($D$32*Inputs!$C$22)</f>
        <v>1050</v>
      </c>
      <c r="Y47" s="32">
        <f>SUM($D$32*Inputs!$C$22)</f>
        <v>1050</v>
      </c>
      <c r="Z47" s="32">
        <f>SUM($D$32*Inputs!$C$22)</f>
        <v>1050</v>
      </c>
      <c r="AA47" s="32">
        <f>SUM($D$32*Inputs!$C$22)</f>
        <v>1050</v>
      </c>
      <c r="AB47" s="32">
        <f>SUM($D$32*Inputs!$C$22)</f>
        <v>1050</v>
      </c>
      <c r="AC47" s="32">
        <f>SUM($D$32*Inputs!$C$22)</f>
        <v>1050</v>
      </c>
    </row>
    <row r="48" spans="1:29">
      <c r="A48" s="9" t="s">
        <v>161</v>
      </c>
      <c r="B48" s="9" t="s">
        <v>141</v>
      </c>
      <c r="C48" s="9" t="s">
        <v>90</v>
      </c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>
        <f>SUM(D32*Inputs!$C$27)</f>
        <v>31500</v>
      </c>
    </row>
    <row r="49" spans="1:29">
      <c r="A49" s="15" t="s">
        <v>162</v>
      </c>
      <c r="B49" s="15" t="s">
        <v>143</v>
      </c>
      <c r="C49" s="15" t="s">
        <v>90</v>
      </c>
      <c r="D49" s="39">
        <f>SUM(D43:D48)</f>
        <v>110250</v>
      </c>
      <c r="E49" s="39">
        <f t="shared" ref="E49:AC49" si="11">SUM(E43:E48)</f>
        <v>1050</v>
      </c>
      <c r="F49" s="39">
        <f t="shared" si="11"/>
        <v>1050</v>
      </c>
      <c r="G49" s="39">
        <f t="shared" si="11"/>
        <v>1050</v>
      </c>
      <c r="H49" s="39">
        <f t="shared" si="11"/>
        <v>1050</v>
      </c>
      <c r="I49" s="39">
        <f t="shared" si="11"/>
        <v>1050</v>
      </c>
      <c r="J49" s="39">
        <f t="shared" si="11"/>
        <v>1050</v>
      </c>
      <c r="K49" s="39">
        <f t="shared" si="11"/>
        <v>1050</v>
      </c>
      <c r="L49" s="39">
        <f t="shared" si="11"/>
        <v>1050</v>
      </c>
      <c r="M49" s="39">
        <f t="shared" si="11"/>
        <v>1050</v>
      </c>
      <c r="N49" s="39">
        <f t="shared" si="11"/>
        <v>1050</v>
      </c>
      <c r="O49" s="39">
        <f t="shared" si="11"/>
        <v>1050</v>
      </c>
      <c r="P49" s="39">
        <f t="shared" si="11"/>
        <v>1050</v>
      </c>
      <c r="Q49" s="39">
        <f t="shared" si="11"/>
        <v>4200</v>
      </c>
      <c r="R49" s="39">
        <f t="shared" si="11"/>
        <v>1050</v>
      </c>
      <c r="S49" s="39">
        <f t="shared" si="11"/>
        <v>1050</v>
      </c>
      <c r="T49" s="39">
        <f t="shared" si="11"/>
        <v>1050</v>
      </c>
      <c r="U49" s="39">
        <f t="shared" si="11"/>
        <v>1050</v>
      </c>
      <c r="V49" s="39">
        <f t="shared" si="11"/>
        <v>1050</v>
      </c>
      <c r="W49" s="39">
        <f t="shared" si="11"/>
        <v>1050</v>
      </c>
      <c r="X49" s="39">
        <f t="shared" si="11"/>
        <v>1050</v>
      </c>
      <c r="Y49" s="39">
        <f t="shared" si="11"/>
        <v>1050</v>
      </c>
      <c r="Z49" s="39">
        <f t="shared" si="11"/>
        <v>1050</v>
      </c>
      <c r="AA49" s="39">
        <f t="shared" si="11"/>
        <v>1050</v>
      </c>
      <c r="AB49" s="39">
        <f t="shared" si="11"/>
        <v>1050</v>
      </c>
      <c r="AC49" s="39">
        <f t="shared" si="11"/>
        <v>32550</v>
      </c>
    </row>
    <row r="50" spans="1:29">
      <c r="A50" s="24"/>
      <c r="B50" s="24"/>
      <c r="C50" s="24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</row>
    <row r="51" spans="1:29">
      <c r="A51" s="10" t="s">
        <v>163</v>
      </c>
      <c r="B51" s="10" t="s">
        <v>107</v>
      </c>
      <c r="C51" s="10" t="s">
        <v>20</v>
      </c>
      <c r="D51" s="33">
        <f>SUM(Inputs!$C$4*Inputs!$C$8)</f>
        <v>300</v>
      </c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</row>
    <row r="52" spans="1:29">
      <c r="A52" s="10" t="s">
        <v>164</v>
      </c>
      <c r="B52" s="10" t="s">
        <v>109</v>
      </c>
      <c r="C52" s="10" t="s">
        <v>110</v>
      </c>
      <c r="D52" s="33">
        <f>SUM(D51*Inputs!$C$10)</f>
        <v>255000</v>
      </c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</row>
    <row r="53" spans="1:29">
      <c r="A53" s="10" t="s">
        <v>165</v>
      </c>
      <c r="B53" s="10" t="s">
        <v>112</v>
      </c>
      <c r="C53" s="10" t="s">
        <v>110</v>
      </c>
      <c r="D53" s="33"/>
      <c r="E53" s="33">
        <f>D52</f>
        <v>255000</v>
      </c>
      <c r="F53" s="33">
        <f>SUM(E53*(1-Inputs!$C$11/100))</f>
        <v>253725</v>
      </c>
      <c r="G53" s="33">
        <f>SUM(F53*(1-Inputs!$C$11/100))</f>
        <v>252456.375</v>
      </c>
      <c r="H53" s="33">
        <f>SUM(G53*(1-Inputs!$C$11/100))</f>
        <v>251194.09312499998</v>
      </c>
      <c r="I53" s="33">
        <f>SUM(H53*(1-Inputs!$C$11/100))</f>
        <v>249938.12265937499</v>
      </c>
      <c r="J53" s="33">
        <f>SUM(I53*(1-Inputs!$C$11/100))</f>
        <v>248688.43204607812</v>
      </c>
      <c r="K53" s="33">
        <f>SUM(J53*(1-Inputs!$C$11/100))</f>
        <v>247444.98988584772</v>
      </c>
      <c r="L53" s="33">
        <f>SUM(K53*(1-Inputs!$C$11/100))</f>
        <v>246207.76493641848</v>
      </c>
      <c r="M53" s="33">
        <f>SUM(L53*(1-Inputs!$C$11/100))</f>
        <v>244976.72611173638</v>
      </c>
      <c r="N53" s="33">
        <f>SUM(M53*(1-Inputs!$C$11/100))</f>
        <v>243751.84248117771</v>
      </c>
      <c r="O53" s="33">
        <f>SUM(N53*(1-Inputs!$C$11/100))</f>
        <v>242533.08326877182</v>
      </c>
      <c r="P53" s="33">
        <f>SUM(O53*(1-Inputs!$C$11/100))</f>
        <v>241320.41785242796</v>
      </c>
      <c r="Q53" s="33">
        <f>SUM(P53*(1-Inputs!$C$11/100))</f>
        <v>240113.81576316583</v>
      </c>
      <c r="R53" s="33">
        <f>SUM(Q53*(1-Inputs!$C$11/100))</f>
        <v>238913.24668434999</v>
      </c>
      <c r="S53" s="33">
        <f>SUM(R53*(1-Inputs!$C$11/100))</f>
        <v>237718.68045092822</v>
      </c>
      <c r="T53" s="33">
        <f>SUM(S53*(1-Inputs!$C$11/100))</f>
        <v>236530.08704867359</v>
      </c>
      <c r="U53" s="33">
        <f>SUM(T53*(1-Inputs!$C$11/100))</f>
        <v>235347.43661343024</v>
      </c>
      <c r="V53" s="33">
        <f>SUM(U53*(1-Inputs!$C$11/100))</f>
        <v>234170.69943036308</v>
      </c>
      <c r="W53" s="33">
        <f>SUM(V53*(1-Inputs!$C$11/100))</f>
        <v>232999.84593321127</v>
      </c>
      <c r="X53" s="33">
        <f>SUM(W53*(1-Inputs!$C$11/100))</f>
        <v>231834.84670354522</v>
      </c>
      <c r="Y53" s="33">
        <f>SUM(X53*(1-Inputs!$C$11/100))</f>
        <v>230675.67247002749</v>
      </c>
      <c r="Z53" s="33">
        <f>SUM(Y53*(1-Inputs!$C$11/100))</f>
        <v>229522.29410767736</v>
      </c>
      <c r="AA53" s="33">
        <f>SUM(Z53*(1-Inputs!$C$11/100))</f>
        <v>228374.68263713896</v>
      </c>
      <c r="AB53" s="33">
        <f>SUM(AA53*(1-Inputs!$C$11/100))</f>
        <v>227232.80922395326</v>
      </c>
      <c r="AC53" s="33">
        <f>SUM(AB53*(1-Inputs!$C$11/100))</f>
        <v>226096.6451778335</v>
      </c>
    </row>
    <row r="54" spans="1:29">
      <c r="A54" s="10" t="s">
        <v>166</v>
      </c>
      <c r="B54" s="10" t="s">
        <v>114</v>
      </c>
      <c r="C54" s="10" t="s">
        <v>110</v>
      </c>
      <c r="D54" s="33"/>
      <c r="E54" s="33">
        <f>SUM(E53*(Inputs!$C$38/100)*(Inputs!$C$39/100))</f>
        <v>153000</v>
      </c>
      <c r="F54" s="33">
        <f>SUM(F53*(Inputs!$C$38/100)*(Inputs!$C$39/100))</f>
        <v>152235</v>
      </c>
      <c r="G54" s="33">
        <f>SUM(G53*(Inputs!$C$38/100)*(Inputs!$C$39/100))</f>
        <v>151473.82499999998</v>
      </c>
      <c r="H54" s="33">
        <f>SUM(H53*(Inputs!$C$38/100)*(Inputs!$C$39/100))</f>
        <v>150716.45587499999</v>
      </c>
      <c r="I54" s="33">
        <f>SUM(I53*(Inputs!$C$38/100)*(Inputs!$C$39/100))</f>
        <v>149962.87359562499</v>
      </c>
      <c r="J54" s="33">
        <f>SUM(J53*(Inputs!$C$38/100)*(Inputs!$C$39/100))</f>
        <v>149213.05922764685</v>
      </c>
      <c r="K54" s="33">
        <f>SUM(K53*(Inputs!$C$38/100)*(Inputs!$C$39/100))</f>
        <v>148466.99393150862</v>
      </c>
      <c r="L54" s="33">
        <f>SUM(L53*(Inputs!$C$38/100)*(Inputs!$C$39/100))</f>
        <v>147724.65896185109</v>
      </c>
      <c r="M54" s="33">
        <f>SUM(M53*(Inputs!$C$38/100)*(Inputs!$C$39/100))</f>
        <v>146986.03566704181</v>
      </c>
      <c r="N54" s="33">
        <f>SUM(N53*(Inputs!$C$38/100)*(Inputs!$C$39/100))</f>
        <v>146251.10548870661</v>
      </c>
      <c r="O54" s="33">
        <f>SUM(O53*(Inputs!$C$38/100)*(Inputs!$C$39/100))</f>
        <v>145519.8499612631</v>
      </c>
      <c r="P54" s="33">
        <f>SUM(P53*(Inputs!$C$38/100)*(Inputs!$C$39/100))</f>
        <v>144792.25071145676</v>
      </c>
      <c r="Q54" s="33">
        <f>SUM(Q53*(Inputs!$C$38/100)*(Inputs!$C$39/100))</f>
        <v>144068.28945789949</v>
      </c>
      <c r="R54" s="33">
        <f>SUM(R53*(Inputs!$C$38/100)*(Inputs!$C$39/100))</f>
        <v>143347.94801060998</v>
      </c>
      <c r="S54" s="33">
        <f>SUM(S53*(Inputs!$C$38/100)*(Inputs!$C$39/100))</f>
        <v>142631.20827055693</v>
      </c>
      <c r="T54" s="33">
        <f>SUM(T53*(Inputs!$C$38/100)*(Inputs!$C$39/100))</f>
        <v>141918.05222920416</v>
      </c>
      <c r="U54" s="33">
        <f>SUM(U53*(Inputs!$C$38/100)*(Inputs!$C$39/100))</f>
        <v>141208.46196805814</v>
      </c>
      <c r="V54" s="33">
        <f>SUM(V53*(Inputs!$C$38/100)*(Inputs!$C$39/100))</f>
        <v>140502.41965821784</v>
      </c>
      <c r="W54" s="33">
        <f>SUM(W53*(Inputs!$C$38/100)*(Inputs!$C$39/100))</f>
        <v>139799.90755992677</v>
      </c>
      <c r="X54" s="33">
        <f>SUM(X53*(Inputs!$C$38/100)*(Inputs!$C$39/100))</f>
        <v>139100.90802212711</v>
      </c>
      <c r="Y54" s="33">
        <f>SUM(Y53*(Inputs!$C$38/100)*(Inputs!$C$39/100))</f>
        <v>138405.4034820165</v>
      </c>
      <c r="Z54" s="33">
        <f>SUM(Z53*(Inputs!$C$38/100)*(Inputs!$C$39/100))</f>
        <v>137713.37646460641</v>
      </c>
      <c r="AA54" s="33">
        <f>SUM(AA53*(Inputs!$C$38/100)*(Inputs!$C$39/100))</f>
        <v>137024.80958228337</v>
      </c>
      <c r="AB54" s="33">
        <f>SUM(AB53*(Inputs!$C$38/100)*(Inputs!$C$39/100))</f>
        <v>136339.68553437194</v>
      </c>
      <c r="AC54" s="33">
        <f>SUM(AC53*(Inputs!$C$38/100)*(Inputs!$C$39/100))</f>
        <v>135657.98710670011</v>
      </c>
    </row>
    <row r="55" spans="1:29">
      <c r="A55" s="10" t="s">
        <v>167</v>
      </c>
      <c r="B55" s="10" t="s">
        <v>116</v>
      </c>
      <c r="C55" s="10" t="s">
        <v>110</v>
      </c>
      <c r="D55" s="33"/>
      <c r="E55" s="33">
        <f>SUM(E53-E54)</f>
        <v>102000</v>
      </c>
      <c r="F55" s="33">
        <f t="shared" ref="F55:AC55" si="12">SUM(F53-F54)</f>
        <v>101490</v>
      </c>
      <c r="G55" s="33">
        <f t="shared" si="12"/>
        <v>100982.55000000002</v>
      </c>
      <c r="H55" s="33">
        <f t="shared" si="12"/>
        <v>100477.63725</v>
      </c>
      <c r="I55" s="33">
        <f t="shared" si="12"/>
        <v>99975.249063750001</v>
      </c>
      <c r="J55" s="33">
        <f t="shared" si="12"/>
        <v>99475.372818431264</v>
      </c>
      <c r="K55" s="33">
        <f t="shared" si="12"/>
        <v>98977.995954339101</v>
      </c>
      <c r="L55" s="33">
        <f t="shared" si="12"/>
        <v>98483.105974567385</v>
      </c>
      <c r="M55" s="33">
        <f t="shared" si="12"/>
        <v>97990.69044469457</v>
      </c>
      <c r="N55" s="33">
        <f t="shared" si="12"/>
        <v>97500.736992471095</v>
      </c>
      <c r="O55" s="33">
        <f t="shared" si="12"/>
        <v>97013.233307508723</v>
      </c>
      <c r="P55" s="33">
        <f t="shared" si="12"/>
        <v>96528.1671409712</v>
      </c>
      <c r="Q55" s="33">
        <f t="shared" si="12"/>
        <v>96045.526305266336</v>
      </c>
      <c r="R55" s="33">
        <f t="shared" si="12"/>
        <v>95565.298673740006</v>
      </c>
      <c r="S55" s="33">
        <f t="shared" si="12"/>
        <v>95087.472180371289</v>
      </c>
      <c r="T55" s="33">
        <f t="shared" si="12"/>
        <v>94612.034819469438</v>
      </c>
      <c r="U55" s="33">
        <f t="shared" si="12"/>
        <v>94138.974645372102</v>
      </c>
      <c r="V55" s="33">
        <f t="shared" si="12"/>
        <v>93668.279772145237</v>
      </c>
      <c r="W55" s="33">
        <f t="shared" si="12"/>
        <v>93199.938373284502</v>
      </c>
      <c r="X55" s="33">
        <f t="shared" si="12"/>
        <v>92733.938681418105</v>
      </c>
      <c r="Y55" s="33">
        <f t="shared" si="12"/>
        <v>92270.268988010997</v>
      </c>
      <c r="Z55" s="33">
        <f t="shared" si="12"/>
        <v>91808.917643070949</v>
      </c>
      <c r="AA55" s="33">
        <f t="shared" si="12"/>
        <v>91349.87305485559</v>
      </c>
      <c r="AB55" s="33">
        <f t="shared" si="12"/>
        <v>90893.12368958132</v>
      </c>
      <c r="AC55" s="33">
        <f t="shared" si="12"/>
        <v>90438.658071133395</v>
      </c>
    </row>
    <row r="56" spans="1:29">
      <c r="A56" s="11" t="s">
        <v>168</v>
      </c>
      <c r="B56" s="11" t="s">
        <v>118</v>
      </c>
      <c r="C56" s="11" t="s">
        <v>90</v>
      </c>
      <c r="D56" s="34"/>
      <c r="E56" s="34">
        <f>SUM(E54*E11)</f>
        <v>28687.5</v>
      </c>
      <c r="F56" s="34">
        <f t="shared" ref="F56:AC56" si="13">SUM(F54*F11)</f>
        <v>28544.0625</v>
      </c>
      <c r="G56" s="34">
        <f t="shared" si="13"/>
        <v>28401.342187499999</v>
      </c>
      <c r="H56" s="34">
        <f t="shared" si="13"/>
        <v>28259.335476562497</v>
      </c>
      <c r="I56" s="34">
        <f t="shared" si="13"/>
        <v>28118.038799179685</v>
      </c>
      <c r="J56" s="34">
        <f t="shared" si="13"/>
        <v>27977.448605183785</v>
      </c>
      <c r="K56" s="34">
        <f t="shared" si="13"/>
        <v>27837.561362157867</v>
      </c>
      <c r="L56" s="34">
        <f t="shared" si="13"/>
        <v>27698.37355534708</v>
      </c>
      <c r="M56" s="34">
        <f t="shared" si="13"/>
        <v>27559.881687570341</v>
      </c>
      <c r="N56" s="34">
        <f t="shared" si="13"/>
        <v>27422.08227913249</v>
      </c>
      <c r="O56" s="34">
        <f t="shared" si="13"/>
        <v>27284.971867736829</v>
      </c>
      <c r="P56" s="34">
        <f t="shared" si="13"/>
        <v>27148.547008398142</v>
      </c>
      <c r="Q56" s="34">
        <f t="shared" si="13"/>
        <v>27012.804273356152</v>
      </c>
      <c r="R56" s="34">
        <f t="shared" si="13"/>
        <v>26877.740251989373</v>
      </c>
      <c r="S56" s="34">
        <f t="shared" si="13"/>
        <v>26743.351550729425</v>
      </c>
      <c r="T56" s="34">
        <f t="shared" si="13"/>
        <v>26609.634792975779</v>
      </c>
      <c r="U56" s="34">
        <f t="shared" si="13"/>
        <v>26476.586619010901</v>
      </c>
      <c r="V56" s="34">
        <f t="shared" si="13"/>
        <v>26344.203685915847</v>
      </c>
      <c r="W56" s="34">
        <f t="shared" si="13"/>
        <v>26212.482667486271</v>
      </c>
      <c r="X56" s="34">
        <f t="shared" si="13"/>
        <v>26081.420254148834</v>
      </c>
      <c r="Y56" s="34">
        <f t="shared" si="13"/>
        <v>25951.013152878091</v>
      </c>
      <c r="Z56" s="34">
        <f t="shared" si="13"/>
        <v>25821.258087113703</v>
      </c>
      <c r="AA56" s="34">
        <f t="shared" si="13"/>
        <v>25692.151796678132</v>
      </c>
      <c r="AB56" s="34">
        <f t="shared" si="13"/>
        <v>25563.691037694738</v>
      </c>
      <c r="AC56" s="34">
        <f t="shared" si="13"/>
        <v>25435.872582506272</v>
      </c>
    </row>
    <row r="57" spans="1:29">
      <c r="A57" s="11" t="s">
        <v>169</v>
      </c>
      <c r="B57" s="11" t="s">
        <v>120</v>
      </c>
      <c r="C57" s="11" t="s">
        <v>90</v>
      </c>
      <c r="D57" s="34"/>
      <c r="E57" s="34">
        <f>SUM(E55*Inputs!$C$40/100)</f>
        <v>6120</v>
      </c>
      <c r="F57" s="34">
        <f>SUM(F55*Inputs!$C$40/100)</f>
        <v>6089.4</v>
      </c>
      <c r="G57" s="34">
        <f>SUM(G55*Inputs!$C$40/100)</f>
        <v>6058.9530000000004</v>
      </c>
      <c r="H57" s="34">
        <f>SUM(H55*Inputs!$C$40/100)</f>
        <v>6028.658234999999</v>
      </c>
      <c r="I57" s="34">
        <f>SUM(I55*Inputs!$C$40/100)</f>
        <v>5998.5149438249991</v>
      </c>
      <c r="J57" s="34">
        <f>SUM(J55*Inputs!$C$40/100)</f>
        <v>5968.5223691058764</v>
      </c>
      <c r="K57" s="34">
        <f>SUM(K55*Inputs!$C$40/100)</f>
        <v>5938.6797572603464</v>
      </c>
      <c r="L57" s="34">
        <f>SUM(L55*Inputs!$C$40/100)</f>
        <v>5908.9863584740433</v>
      </c>
      <c r="M57" s="34">
        <f>SUM(M55*Inputs!$C$40/100)</f>
        <v>5879.4414266816739</v>
      </c>
      <c r="N57" s="34">
        <f>SUM(N55*Inputs!$C$40/100)</f>
        <v>5850.0442195482656</v>
      </c>
      <c r="O57" s="34">
        <f>SUM(O55*Inputs!$C$40/100)</f>
        <v>5820.7939984505228</v>
      </c>
      <c r="P57" s="34">
        <f>SUM(P55*Inputs!$C$40/100)</f>
        <v>5791.6900284582725</v>
      </c>
      <c r="Q57" s="34">
        <f>SUM(Q55*Inputs!$C$40/100)</f>
        <v>5762.7315783159811</v>
      </c>
      <c r="R57" s="34">
        <f>SUM(R55*Inputs!$C$40/100)</f>
        <v>5733.9179204244001</v>
      </c>
      <c r="S57" s="34">
        <f>SUM(S55*Inputs!$C$40/100)</f>
        <v>5705.2483308222772</v>
      </c>
      <c r="T57" s="34">
        <f>SUM(T55*Inputs!$C$40/100)</f>
        <v>5676.7220891681663</v>
      </c>
      <c r="U57" s="34">
        <f>SUM(U55*Inputs!$C$40/100)</f>
        <v>5648.3384787223258</v>
      </c>
      <c r="V57" s="34">
        <f>SUM(V55*Inputs!$C$40/100)</f>
        <v>5620.0967863287151</v>
      </c>
      <c r="W57" s="34">
        <f>SUM(W55*Inputs!$C$40/100)</f>
        <v>5591.9963023970695</v>
      </c>
      <c r="X57" s="34">
        <f>SUM(X55*Inputs!$C$40/100)</f>
        <v>5564.0363208850868</v>
      </c>
      <c r="Y57" s="34">
        <f>SUM(Y55*Inputs!$C$40/100)</f>
        <v>5536.2161392806602</v>
      </c>
      <c r="Z57" s="34">
        <f>SUM(Z55*Inputs!$C$40/100)</f>
        <v>5508.5350585842571</v>
      </c>
      <c r="AA57" s="34">
        <f>SUM(AA55*Inputs!$C$40/100)</f>
        <v>5480.9923832913346</v>
      </c>
      <c r="AB57" s="34">
        <f>SUM(AB55*Inputs!$C$40/100)</f>
        <v>5453.5874213748793</v>
      </c>
      <c r="AC57" s="34">
        <f>SUM(AC55*Inputs!$C$40/100)</f>
        <v>5426.3194842680032</v>
      </c>
    </row>
    <row r="58" spans="1:29">
      <c r="A58" s="12" t="s">
        <v>170</v>
      </c>
      <c r="B58" s="12" t="s">
        <v>122</v>
      </c>
      <c r="C58" s="12" t="s">
        <v>90</v>
      </c>
      <c r="D58" s="35"/>
      <c r="E58" s="35">
        <f>SUM(E56:E57)</f>
        <v>34807.5</v>
      </c>
      <c r="F58" s="35">
        <f t="shared" ref="F58:AC58" si="14">SUM(F56:F57)</f>
        <v>34633.462500000001</v>
      </c>
      <c r="G58" s="35">
        <f t="shared" si="14"/>
        <v>34460.2951875</v>
      </c>
      <c r="H58" s="35">
        <f t="shared" si="14"/>
        <v>34287.993711562493</v>
      </c>
      <c r="I58" s="35">
        <f t="shared" si="14"/>
        <v>34116.553743004682</v>
      </c>
      <c r="J58" s="35">
        <f t="shared" si="14"/>
        <v>33945.970974289659</v>
      </c>
      <c r="K58" s="35">
        <f t="shared" si="14"/>
        <v>33776.241119418213</v>
      </c>
      <c r="L58" s="35">
        <f t="shared" si="14"/>
        <v>33607.359913821121</v>
      </c>
      <c r="M58" s="35">
        <f t="shared" si="14"/>
        <v>33439.323114252016</v>
      </c>
      <c r="N58" s="35">
        <f t="shared" si="14"/>
        <v>33272.126498680758</v>
      </c>
      <c r="O58" s="35">
        <f t="shared" si="14"/>
        <v>33105.76586618735</v>
      </c>
      <c r="P58" s="35">
        <f t="shared" si="14"/>
        <v>32940.237036856415</v>
      </c>
      <c r="Q58" s="35">
        <f t="shared" si="14"/>
        <v>32775.535851672132</v>
      </c>
      <c r="R58" s="35">
        <f t="shared" si="14"/>
        <v>32611.658172413772</v>
      </c>
      <c r="S58" s="35">
        <f t="shared" si="14"/>
        <v>32448.599881551701</v>
      </c>
      <c r="T58" s="35">
        <f t="shared" si="14"/>
        <v>32286.356882143948</v>
      </c>
      <c r="U58" s="35">
        <f t="shared" si="14"/>
        <v>32124.925097733227</v>
      </c>
      <c r="V58" s="35">
        <f t="shared" si="14"/>
        <v>31964.300472244562</v>
      </c>
      <c r="W58" s="35">
        <f t="shared" si="14"/>
        <v>31804.478969883341</v>
      </c>
      <c r="X58" s="35">
        <f t="shared" si="14"/>
        <v>31645.456575033921</v>
      </c>
      <c r="Y58" s="35">
        <f t="shared" si="14"/>
        <v>31487.22929215875</v>
      </c>
      <c r="Z58" s="35">
        <f t="shared" si="14"/>
        <v>31329.79314569796</v>
      </c>
      <c r="AA58" s="35">
        <f t="shared" si="14"/>
        <v>31173.144179969466</v>
      </c>
      <c r="AB58" s="35">
        <f t="shared" si="14"/>
        <v>31017.278459069617</v>
      </c>
      <c r="AC58" s="35">
        <f t="shared" si="14"/>
        <v>30862.192066774274</v>
      </c>
    </row>
    <row r="59" spans="1:29">
      <c r="A59" s="21" t="s">
        <v>171</v>
      </c>
      <c r="B59" s="21" t="s">
        <v>124</v>
      </c>
      <c r="C59" s="21" t="s">
        <v>125</v>
      </c>
      <c r="D59" s="36"/>
      <c r="E59" s="36">
        <f>SUM(E53*Inputs!$C$41)</f>
        <v>52.797750000000008</v>
      </c>
      <c r="F59" s="36">
        <f>SUM(F53*Inputs!$C$41)</f>
        <v>52.533761250000005</v>
      </c>
      <c r="G59" s="36">
        <f>SUM(G53*Inputs!$C$41)</f>
        <v>52.271092443750007</v>
      </c>
      <c r="H59" s="36">
        <f>SUM(H53*Inputs!$C$41)</f>
        <v>52.009736981531255</v>
      </c>
      <c r="I59" s="36">
        <f>SUM(I53*Inputs!$C$41)</f>
        <v>51.749688296623596</v>
      </c>
      <c r="J59" s="36">
        <f>SUM(J53*Inputs!$C$41)</f>
        <v>51.490939855140482</v>
      </c>
      <c r="K59" s="36">
        <f>SUM(K53*Inputs!$C$41)</f>
        <v>51.233485155864777</v>
      </c>
      <c r="L59" s="36">
        <f>SUM(L53*Inputs!$C$41)</f>
        <v>50.977317730085453</v>
      </c>
      <c r="M59" s="36">
        <f>SUM(M53*Inputs!$C$41)</f>
        <v>50.722431141435024</v>
      </c>
      <c r="N59" s="36">
        <f>SUM(N53*Inputs!$C$41)</f>
        <v>50.46881898572785</v>
      </c>
      <c r="O59" s="36">
        <f>SUM(O53*Inputs!$C$41)</f>
        <v>50.216474890799212</v>
      </c>
      <c r="P59" s="36">
        <f>SUM(P53*Inputs!$C$41)</f>
        <v>49.965392516345212</v>
      </c>
      <c r="Q59" s="36">
        <f>SUM(Q53*Inputs!$C$41)</f>
        <v>49.71556555376349</v>
      </c>
      <c r="R59" s="36">
        <f>SUM(R53*Inputs!$C$41)</f>
        <v>49.46698772599467</v>
      </c>
      <c r="S59" s="36">
        <f>SUM(S53*Inputs!$C$41)</f>
        <v>49.219652787364694</v>
      </c>
      <c r="T59" s="36">
        <f>SUM(T53*Inputs!$C$41)</f>
        <v>48.973554523427872</v>
      </c>
      <c r="U59" s="36">
        <f>SUM(U53*Inputs!$C$41)</f>
        <v>48.728686750810738</v>
      </c>
      <c r="V59" s="36">
        <f>SUM(V53*Inputs!$C$41)</f>
        <v>48.485043317056679</v>
      </c>
      <c r="W59" s="36">
        <f>SUM(W53*Inputs!$C$41)</f>
        <v>48.242618100471397</v>
      </c>
      <c r="X59" s="36">
        <f>SUM(X53*Inputs!$C$41)</f>
        <v>48.001405009969041</v>
      </c>
      <c r="Y59" s="36">
        <f>SUM(Y53*Inputs!$C$41)</f>
        <v>47.761397984919199</v>
      </c>
      <c r="Z59" s="36">
        <f>SUM(Z53*Inputs!$C$41)</f>
        <v>47.522590994994601</v>
      </c>
      <c r="AA59" s="36">
        <f>SUM(AA53*Inputs!$C$41)</f>
        <v>47.284978040019624</v>
      </c>
      <c r="AB59" s="36">
        <f>SUM(AB53*Inputs!$C$41)</f>
        <v>47.048553149819526</v>
      </c>
      <c r="AC59" s="36">
        <f>SUM(AC53*Inputs!$C$41)</f>
        <v>46.813310384070434</v>
      </c>
    </row>
    <row r="60" spans="1:29">
      <c r="A60" s="13" t="s">
        <v>172</v>
      </c>
      <c r="B60" s="13" t="s">
        <v>127</v>
      </c>
      <c r="C60" s="13" t="s">
        <v>90</v>
      </c>
      <c r="D60" s="37"/>
      <c r="E60" s="37">
        <f>SUM(E54*E10)</f>
        <v>38250</v>
      </c>
      <c r="F60" s="37">
        <f t="shared" ref="F60:AC60" si="15">SUM(F54*F10)</f>
        <v>38058.75</v>
      </c>
      <c r="G60" s="37">
        <f t="shared" si="15"/>
        <v>37868.456249999996</v>
      </c>
      <c r="H60" s="37">
        <f t="shared" si="15"/>
        <v>37679.113968749996</v>
      </c>
      <c r="I60" s="37">
        <f t="shared" si="15"/>
        <v>37490.718398906247</v>
      </c>
      <c r="J60" s="37">
        <f t="shared" si="15"/>
        <v>37303.264806911713</v>
      </c>
      <c r="K60" s="37">
        <f t="shared" si="15"/>
        <v>37116.748482877156</v>
      </c>
      <c r="L60" s="37">
        <f t="shared" si="15"/>
        <v>36931.164740462773</v>
      </c>
      <c r="M60" s="37">
        <f t="shared" si="15"/>
        <v>36746.508916760453</v>
      </c>
      <c r="N60" s="37">
        <f t="shared" si="15"/>
        <v>36562.776372176653</v>
      </c>
      <c r="O60" s="37">
        <f t="shared" si="15"/>
        <v>36379.962490315775</v>
      </c>
      <c r="P60" s="37">
        <f t="shared" si="15"/>
        <v>36198.062677864189</v>
      </c>
      <c r="Q60" s="37">
        <f t="shared" si="15"/>
        <v>36017.072364474872</v>
      </c>
      <c r="R60" s="37">
        <f t="shared" si="15"/>
        <v>35836.987002652495</v>
      </c>
      <c r="S60" s="37">
        <f t="shared" si="15"/>
        <v>35657.802067639233</v>
      </c>
      <c r="T60" s="37">
        <f t="shared" si="15"/>
        <v>35479.513057301039</v>
      </c>
      <c r="U60" s="37">
        <f t="shared" si="15"/>
        <v>35302.115492014535</v>
      </c>
      <c r="V60" s="37">
        <f t="shared" si="15"/>
        <v>35125.60491455446</v>
      </c>
      <c r="W60" s="37">
        <f t="shared" si="15"/>
        <v>34949.976889981692</v>
      </c>
      <c r="X60" s="37">
        <f t="shared" si="15"/>
        <v>34775.227005531779</v>
      </c>
      <c r="Y60" s="37">
        <f t="shared" si="15"/>
        <v>34601.350870504124</v>
      </c>
      <c r="Z60" s="37">
        <f t="shared" si="15"/>
        <v>34428.344116151602</v>
      </c>
      <c r="AA60" s="37">
        <f t="shared" si="15"/>
        <v>34256.202395570843</v>
      </c>
      <c r="AB60" s="37">
        <f t="shared" si="15"/>
        <v>34084.921383592984</v>
      </c>
      <c r="AC60" s="37">
        <f t="shared" si="15"/>
        <v>33914.496776675027</v>
      </c>
    </row>
    <row r="61" spans="1:29">
      <c r="A61" s="14" t="s">
        <v>173</v>
      </c>
      <c r="B61" s="14" t="s">
        <v>129</v>
      </c>
      <c r="C61" s="14" t="s">
        <v>90</v>
      </c>
      <c r="D61" s="38"/>
      <c r="E61" s="38">
        <f>SUM(E60-E56)</f>
        <v>9562.5</v>
      </c>
      <c r="F61" s="38">
        <f t="shared" ref="F61:AC61" si="16">SUM(F60-F56)</f>
        <v>9514.6875</v>
      </c>
      <c r="G61" s="38">
        <f t="shared" si="16"/>
        <v>9467.1140624999971</v>
      </c>
      <c r="H61" s="38">
        <f t="shared" si="16"/>
        <v>9419.7784921874991</v>
      </c>
      <c r="I61" s="38">
        <f t="shared" si="16"/>
        <v>9372.6795997265617</v>
      </c>
      <c r="J61" s="38">
        <f t="shared" si="16"/>
        <v>9325.8162017279283</v>
      </c>
      <c r="K61" s="38">
        <f t="shared" si="16"/>
        <v>9279.1871207192889</v>
      </c>
      <c r="L61" s="38">
        <f t="shared" si="16"/>
        <v>9232.7911851156932</v>
      </c>
      <c r="M61" s="38">
        <f t="shared" si="16"/>
        <v>9186.6272291901114</v>
      </c>
      <c r="N61" s="38">
        <f t="shared" si="16"/>
        <v>9140.6940930441633</v>
      </c>
      <c r="O61" s="38">
        <f t="shared" si="16"/>
        <v>9094.9906225789455</v>
      </c>
      <c r="P61" s="38">
        <f t="shared" si="16"/>
        <v>9049.5156694660473</v>
      </c>
      <c r="Q61" s="38">
        <f t="shared" si="16"/>
        <v>9004.2680911187199</v>
      </c>
      <c r="R61" s="38">
        <f t="shared" si="16"/>
        <v>8959.2467506631219</v>
      </c>
      <c r="S61" s="38">
        <f t="shared" si="16"/>
        <v>8914.4505169098084</v>
      </c>
      <c r="T61" s="38">
        <f t="shared" si="16"/>
        <v>8869.8782643252598</v>
      </c>
      <c r="U61" s="38">
        <f t="shared" si="16"/>
        <v>8825.5288730036336</v>
      </c>
      <c r="V61" s="38">
        <f t="shared" si="16"/>
        <v>8781.4012286386132</v>
      </c>
      <c r="W61" s="38">
        <f t="shared" si="16"/>
        <v>8737.4942224954211</v>
      </c>
      <c r="X61" s="38">
        <f t="shared" si="16"/>
        <v>8693.8067513829446</v>
      </c>
      <c r="Y61" s="38">
        <f t="shared" si="16"/>
        <v>8650.3377176260328</v>
      </c>
      <c r="Z61" s="38">
        <f t="shared" si="16"/>
        <v>8607.0860290378987</v>
      </c>
      <c r="AA61" s="38">
        <f t="shared" si="16"/>
        <v>8564.0505988927107</v>
      </c>
      <c r="AB61" s="38">
        <f t="shared" si="16"/>
        <v>8521.230345898246</v>
      </c>
      <c r="AC61" s="38">
        <f t="shared" si="16"/>
        <v>8478.6241941687549</v>
      </c>
    </row>
    <row r="62" spans="1:29">
      <c r="A62" s="9" t="s">
        <v>174</v>
      </c>
      <c r="B62" s="9" t="s">
        <v>131</v>
      </c>
      <c r="C62" s="9" t="s">
        <v>90</v>
      </c>
      <c r="D62" s="32">
        <f>SUM(D51*Inputs!$C$12)</f>
        <v>300000</v>
      </c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</row>
    <row r="63" spans="1:29">
      <c r="A63" s="9" t="s">
        <v>175</v>
      </c>
      <c r="B63" s="9" t="s">
        <v>157</v>
      </c>
      <c r="C63" s="9" t="s">
        <v>90</v>
      </c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>
        <f>SUM(D51*Inputs!$C$13)</f>
        <v>9000</v>
      </c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</row>
    <row r="64" spans="1:29">
      <c r="A64" s="9" t="s">
        <v>176</v>
      </c>
      <c r="B64" s="9" t="s">
        <v>135</v>
      </c>
      <c r="C64" s="9" t="s">
        <v>90</v>
      </c>
      <c r="D64" s="32">
        <f>SUM(D51*Inputs!$C$16)</f>
        <v>0</v>
      </c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</row>
    <row r="65" spans="1:29">
      <c r="A65" s="9" t="s">
        <v>177</v>
      </c>
      <c r="B65" s="9" t="s">
        <v>137</v>
      </c>
      <c r="C65" s="9" t="s">
        <v>90</v>
      </c>
      <c r="D65" s="32">
        <f>SUM(Inputs!$C$5*Inputs!$C$20)</f>
        <v>3000</v>
      </c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</row>
    <row r="66" spans="1:29">
      <c r="A66" s="9" t="s">
        <v>178</v>
      </c>
      <c r="B66" s="9" t="s">
        <v>139</v>
      </c>
      <c r="C66" s="9" t="s">
        <v>90</v>
      </c>
      <c r="D66" s="32"/>
      <c r="E66" s="32">
        <f>SUM($D$51*Inputs!$C$22)</f>
        <v>3000</v>
      </c>
      <c r="F66" s="32">
        <f>SUM($D$51*Inputs!$C$22)</f>
        <v>3000</v>
      </c>
      <c r="G66" s="32">
        <f>SUM($D$51*Inputs!$C$22)</f>
        <v>3000</v>
      </c>
      <c r="H66" s="32">
        <f>SUM($D$51*Inputs!$C$22)</f>
        <v>3000</v>
      </c>
      <c r="I66" s="32">
        <f>SUM($D$51*Inputs!$C$22)</f>
        <v>3000</v>
      </c>
      <c r="J66" s="32">
        <f>SUM($D$51*Inputs!$C$22)</f>
        <v>3000</v>
      </c>
      <c r="K66" s="32">
        <f>SUM($D$51*Inputs!$C$22)</f>
        <v>3000</v>
      </c>
      <c r="L66" s="32">
        <f>SUM($D$51*Inputs!$C$22)</f>
        <v>3000</v>
      </c>
      <c r="M66" s="32">
        <f>SUM($D$51*Inputs!$C$22)</f>
        <v>3000</v>
      </c>
      <c r="N66" s="32">
        <f>SUM($D$51*Inputs!$C$22)</f>
        <v>3000</v>
      </c>
      <c r="O66" s="32">
        <f>SUM($D$51*Inputs!$C$22)</f>
        <v>3000</v>
      </c>
      <c r="P66" s="32">
        <f>SUM($D$51*Inputs!$C$22)</f>
        <v>3000</v>
      </c>
      <c r="Q66" s="32">
        <f>SUM($D$51*Inputs!$C$22)</f>
        <v>3000</v>
      </c>
      <c r="R66" s="32">
        <f>SUM($D$51*Inputs!$C$22)</f>
        <v>3000</v>
      </c>
      <c r="S66" s="32">
        <f>SUM($D$51*Inputs!$C$22)</f>
        <v>3000</v>
      </c>
      <c r="T66" s="32">
        <f>SUM($D$51*Inputs!$C$22)</f>
        <v>3000</v>
      </c>
      <c r="U66" s="32">
        <f>SUM($D$51*Inputs!$C$22)</f>
        <v>3000</v>
      </c>
      <c r="V66" s="32">
        <f>SUM($D$51*Inputs!$C$22)</f>
        <v>3000</v>
      </c>
      <c r="W66" s="32">
        <f>SUM($D$51*Inputs!$C$22)</f>
        <v>3000</v>
      </c>
      <c r="X66" s="32">
        <f>SUM($D$51*Inputs!$C$22)</f>
        <v>3000</v>
      </c>
      <c r="Y66" s="32">
        <f>SUM($D$51*Inputs!$C$22)</f>
        <v>3000</v>
      </c>
      <c r="Z66" s="32">
        <f>SUM($D$51*Inputs!$C$22)</f>
        <v>3000</v>
      </c>
      <c r="AA66" s="32">
        <f>SUM($D$51*Inputs!$C$22)</f>
        <v>3000</v>
      </c>
      <c r="AB66" s="32">
        <f>SUM($D$51*Inputs!$C$22)</f>
        <v>3000</v>
      </c>
      <c r="AC66" s="32">
        <f>SUM($D$51*Inputs!$C$22)</f>
        <v>3000</v>
      </c>
    </row>
    <row r="67" spans="1:29">
      <c r="A67" s="9" t="s">
        <v>179</v>
      </c>
      <c r="B67" s="9" t="s">
        <v>141</v>
      </c>
      <c r="C67" s="9" t="s">
        <v>90</v>
      </c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>
        <f>SUM(D51*Inputs!$C$27)</f>
        <v>90000</v>
      </c>
    </row>
    <row r="68" spans="1:29">
      <c r="A68" s="15" t="s">
        <v>180</v>
      </c>
      <c r="B68" s="15" t="s">
        <v>143</v>
      </c>
      <c r="C68" s="15" t="s">
        <v>90</v>
      </c>
      <c r="D68" s="39">
        <f>SUM(D62:D67)</f>
        <v>303000</v>
      </c>
      <c r="E68" s="39">
        <f t="shared" ref="E68:AC68" si="17">SUM(E62:E67)</f>
        <v>3000</v>
      </c>
      <c r="F68" s="39">
        <f t="shared" si="17"/>
        <v>3000</v>
      </c>
      <c r="G68" s="39">
        <f t="shared" si="17"/>
        <v>3000</v>
      </c>
      <c r="H68" s="39">
        <f t="shared" si="17"/>
        <v>3000</v>
      </c>
      <c r="I68" s="39">
        <f t="shared" si="17"/>
        <v>3000</v>
      </c>
      <c r="J68" s="39">
        <f t="shared" si="17"/>
        <v>3000</v>
      </c>
      <c r="K68" s="39">
        <f t="shared" si="17"/>
        <v>3000</v>
      </c>
      <c r="L68" s="39">
        <f t="shared" si="17"/>
        <v>3000</v>
      </c>
      <c r="M68" s="39">
        <f t="shared" si="17"/>
        <v>3000</v>
      </c>
      <c r="N68" s="39">
        <f t="shared" si="17"/>
        <v>3000</v>
      </c>
      <c r="O68" s="39">
        <f t="shared" si="17"/>
        <v>3000</v>
      </c>
      <c r="P68" s="39">
        <f t="shared" si="17"/>
        <v>3000</v>
      </c>
      <c r="Q68" s="39">
        <f t="shared" si="17"/>
        <v>12000</v>
      </c>
      <c r="R68" s="39">
        <f t="shared" si="17"/>
        <v>3000</v>
      </c>
      <c r="S68" s="39">
        <f t="shared" si="17"/>
        <v>3000</v>
      </c>
      <c r="T68" s="39">
        <f t="shared" si="17"/>
        <v>3000</v>
      </c>
      <c r="U68" s="39">
        <f t="shared" si="17"/>
        <v>3000</v>
      </c>
      <c r="V68" s="39">
        <f t="shared" si="17"/>
        <v>3000</v>
      </c>
      <c r="W68" s="39">
        <f t="shared" si="17"/>
        <v>3000</v>
      </c>
      <c r="X68" s="39">
        <f t="shared" si="17"/>
        <v>3000</v>
      </c>
      <c r="Y68" s="39">
        <f t="shared" si="17"/>
        <v>3000</v>
      </c>
      <c r="Z68" s="39">
        <f t="shared" si="17"/>
        <v>3000</v>
      </c>
      <c r="AA68" s="39">
        <f t="shared" si="17"/>
        <v>3000</v>
      </c>
      <c r="AB68" s="39">
        <f t="shared" si="17"/>
        <v>3000</v>
      </c>
      <c r="AC68" s="39">
        <f t="shared" si="17"/>
        <v>93000</v>
      </c>
    </row>
    <row r="69" spans="1:29">
      <c r="A69" s="24"/>
      <c r="B69" s="24"/>
      <c r="C69" s="24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</row>
    <row r="70" spans="1:29">
      <c r="A70" s="10" t="s">
        <v>181</v>
      </c>
      <c r="B70" s="10" t="s">
        <v>107</v>
      </c>
      <c r="C70" s="10" t="s">
        <v>20</v>
      </c>
      <c r="D70" s="33">
        <f>SUM(Inputs!$C$9*Inputs!$C$5)</f>
        <v>200</v>
      </c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</row>
    <row r="71" spans="1:29">
      <c r="A71" s="10" t="s">
        <v>182</v>
      </c>
      <c r="B71" s="10" t="s">
        <v>109</v>
      </c>
      <c r="C71" s="10" t="s">
        <v>110</v>
      </c>
      <c r="D71" s="33">
        <f>SUM(D70*Inputs!$C$10)</f>
        <v>170000</v>
      </c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</row>
    <row r="72" spans="1:29">
      <c r="A72" s="10" t="s">
        <v>183</v>
      </c>
      <c r="B72" s="10" t="s">
        <v>112</v>
      </c>
      <c r="C72" s="10" t="s">
        <v>110</v>
      </c>
      <c r="D72" s="33"/>
      <c r="E72" s="33">
        <f>D71</f>
        <v>170000</v>
      </c>
      <c r="F72" s="33">
        <f>SUM(E72*(1-Inputs!$C$11/100))</f>
        <v>169150</v>
      </c>
      <c r="G72" s="33">
        <f>SUM(F72*(1-Inputs!$C$11/100))</f>
        <v>168304.25</v>
      </c>
      <c r="H72" s="33">
        <f>SUM(G72*(1-Inputs!$C$11/100))</f>
        <v>167462.72875000001</v>
      </c>
      <c r="I72" s="33">
        <f>SUM(H72*(1-Inputs!$C$11/100))</f>
        <v>166625.41510625</v>
      </c>
      <c r="J72" s="33">
        <f>SUM(I72*(1-Inputs!$C$11/100))</f>
        <v>165792.28803071874</v>
      </c>
      <c r="K72" s="33">
        <f>SUM(J72*(1-Inputs!$C$11/100))</f>
        <v>164963.32659056515</v>
      </c>
      <c r="L72" s="33">
        <f>SUM(K72*(1-Inputs!$C$11/100))</f>
        <v>164138.50995761232</v>
      </c>
      <c r="M72" s="33">
        <f>SUM(L72*(1-Inputs!$C$11/100))</f>
        <v>163317.81740782424</v>
      </c>
      <c r="N72" s="33">
        <f>SUM(M72*(1-Inputs!$C$11/100))</f>
        <v>162501.22832078513</v>
      </c>
      <c r="O72" s="33">
        <f>SUM(N72*(1-Inputs!$C$11/100))</f>
        <v>161688.7221791812</v>
      </c>
      <c r="P72" s="33">
        <f>SUM(O72*(1-Inputs!$C$11/100))</f>
        <v>160880.27856828528</v>
      </c>
      <c r="Q72" s="33">
        <f>SUM(P72*(1-Inputs!$C$11/100))</f>
        <v>160075.87717544386</v>
      </c>
      <c r="R72" s="33">
        <f>SUM(Q72*(1-Inputs!$C$11/100))</f>
        <v>159275.49778956664</v>
      </c>
      <c r="S72" s="33">
        <f>SUM(R72*(1-Inputs!$C$11/100))</f>
        <v>158479.12030061882</v>
      </c>
      <c r="T72" s="33">
        <f>SUM(S72*(1-Inputs!$C$11/100))</f>
        <v>157686.72469911573</v>
      </c>
      <c r="U72" s="33">
        <f>SUM(T72*(1-Inputs!$C$11/100))</f>
        <v>156898.29107562016</v>
      </c>
      <c r="V72" s="33">
        <f>SUM(U72*(1-Inputs!$C$11/100))</f>
        <v>156113.79962024206</v>
      </c>
      <c r="W72" s="33">
        <f>SUM(V72*(1-Inputs!$C$11/100))</f>
        <v>155333.23062214087</v>
      </c>
      <c r="X72" s="33">
        <f>SUM(W72*(1-Inputs!$C$11/100))</f>
        <v>154556.56446903016</v>
      </c>
      <c r="Y72" s="33">
        <f>SUM(X72*(1-Inputs!$C$11/100))</f>
        <v>153783.78164668501</v>
      </c>
      <c r="Z72" s="33">
        <f>SUM(Y72*(1-Inputs!$C$11/100))</f>
        <v>153014.86273845157</v>
      </c>
      <c r="AA72" s="33">
        <f>SUM(Z72*(1-Inputs!$C$11/100))</f>
        <v>152249.78842475932</v>
      </c>
      <c r="AB72" s="33">
        <f>SUM(AA72*(1-Inputs!$C$11/100))</f>
        <v>151488.53948263553</v>
      </c>
      <c r="AC72" s="33">
        <f>SUM(AB72*(1-Inputs!$C$11/100))</f>
        <v>150731.09678522235</v>
      </c>
    </row>
    <row r="73" spans="1:29">
      <c r="A73" s="10" t="s">
        <v>184</v>
      </c>
      <c r="B73" s="10" t="s">
        <v>114</v>
      </c>
      <c r="C73" s="10" t="s">
        <v>110</v>
      </c>
      <c r="D73" s="33"/>
      <c r="E73" s="33">
        <f>SUM(E72*(Inputs!$C$38/100)*(Inputs!$C$39/100))</f>
        <v>102000</v>
      </c>
      <c r="F73" s="33">
        <f>SUM(F72*(Inputs!$C$38/100)*(Inputs!$C$39/100))</f>
        <v>101490</v>
      </c>
      <c r="G73" s="33">
        <f>SUM(G72*(Inputs!$C$38/100)*(Inputs!$C$39/100))</f>
        <v>100982.55</v>
      </c>
      <c r="H73" s="33">
        <f>SUM(H72*(Inputs!$C$38/100)*(Inputs!$C$39/100))</f>
        <v>100477.63725</v>
      </c>
      <c r="I73" s="33">
        <f>SUM(I72*(Inputs!$C$38/100)*(Inputs!$C$39/100))</f>
        <v>99975.249063750001</v>
      </c>
      <c r="J73" s="33">
        <f>SUM(J72*(Inputs!$C$38/100)*(Inputs!$C$39/100))</f>
        <v>99475.372818431249</v>
      </c>
      <c r="K73" s="33">
        <f>SUM(K72*(Inputs!$C$38/100)*(Inputs!$C$39/100))</f>
        <v>98977.995954339087</v>
      </c>
      <c r="L73" s="33">
        <f>SUM(L72*(Inputs!$C$38/100)*(Inputs!$C$39/100))</f>
        <v>98483.105974567385</v>
      </c>
      <c r="M73" s="33">
        <f>SUM(M72*(Inputs!$C$38/100)*(Inputs!$C$39/100))</f>
        <v>97990.690444694541</v>
      </c>
      <c r="N73" s="33">
        <f>SUM(N72*(Inputs!$C$38/100)*(Inputs!$C$39/100))</f>
        <v>97500.73699247108</v>
      </c>
      <c r="O73" s="33">
        <f>SUM(O72*(Inputs!$C$38/100)*(Inputs!$C$39/100))</f>
        <v>97013.233307508723</v>
      </c>
      <c r="P73" s="33">
        <f>SUM(P72*(Inputs!$C$38/100)*(Inputs!$C$39/100))</f>
        <v>96528.167140971171</v>
      </c>
      <c r="Q73" s="33">
        <f>SUM(Q72*(Inputs!$C$38/100)*(Inputs!$C$39/100))</f>
        <v>96045.526305266321</v>
      </c>
      <c r="R73" s="33">
        <f>SUM(R72*(Inputs!$C$38/100)*(Inputs!$C$39/100))</f>
        <v>95565.298673739977</v>
      </c>
      <c r="S73" s="33">
        <f>SUM(S72*(Inputs!$C$38/100)*(Inputs!$C$39/100))</f>
        <v>95087.472180371289</v>
      </c>
      <c r="T73" s="33">
        <f>SUM(T72*(Inputs!$C$38/100)*(Inputs!$C$39/100))</f>
        <v>94612.034819469438</v>
      </c>
      <c r="U73" s="33">
        <f>SUM(U72*(Inputs!$C$38/100)*(Inputs!$C$39/100))</f>
        <v>94138.974645372087</v>
      </c>
      <c r="V73" s="33">
        <f>SUM(V72*(Inputs!$C$38/100)*(Inputs!$C$39/100))</f>
        <v>93668.279772145237</v>
      </c>
      <c r="W73" s="33">
        <f>SUM(W72*(Inputs!$C$38/100)*(Inputs!$C$39/100))</f>
        <v>93199.938373284516</v>
      </c>
      <c r="X73" s="33">
        <f>SUM(X72*(Inputs!$C$38/100)*(Inputs!$C$39/100))</f>
        <v>92733.938681418091</v>
      </c>
      <c r="Y73" s="33">
        <f>SUM(Y72*(Inputs!$C$38/100)*(Inputs!$C$39/100))</f>
        <v>92270.268988010997</v>
      </c>
      <c r="Z73" s="33">
        <f>SUM(Z72*(Inputs!$C$38/100)*(Inputs!$C$39/100))</f>
        <v>91808.917643070934</v>
      </c>
      <c r="AA73" s="33">
        <f>SUM(AA72*(Inputs!$C$38/100)*(Inputs!$C$39/100))</f>
        <v>91349.87305485559</v>
      </c>
      <c r="AB73" s="33">
        <f>SUM(AB72*(Inputs!$C$38/100)*(Inputs!$C$39/100))</f>
        <v>90893.12368958132</v>
      </c>
      <c r="AC73" s="33">
        <f>SUM(AC72*(Inputs!$C$38/100)*(Inputs!$C$39/100))</f>
        <v>90438.65807113341</v>
      </c>
    </row>
    <row r="74" spans="1:29">
      <c r="A74" s="10" t="s">
        <v>185</v>
      </c>
      <c r="B74" s="10" t="s">
        <v>116</v>
      </c>
      <c r="C74" s="10" t="s">
        <v>110</v>
      </c>
      <c r="D74" s="33"/>
      <c r="E74" s="33">
        <f>SUM(E72-E73)</f>
        <v>68000</v>
      </c>
      <c r="F74" s="33">
        <f t="shared" ref="F74" si="18">SUM(F72-F73)</f>
        <v>67660</v>
      </c>
      <c r="G74" s="33">
        <f t="shared" ref="G74" si="19">SUM(G72-G73)</f>
        <v>67321.7</v>
      </c>
      <c r="H74" s="33">
        <f t="shared" ref="H74" si="20">SUM(H72-H73)</f>
        <v>66985.09150000001</v>
      </c>
      <c r="I74" s="33">
        <f t="shared" ref="I74" si="21">SUM(I72-I73)</f>
        <v>66650.166042500001</v>
      </c>
      <c r="J74" s="33">
        <f t="shared" ref="J74" si="22">SUM(J72-J73)</f>
        <v>66316.915212287495</v>
      </c>
      <c r="K74" s="33">
        <f t="shared" ref="K74" si="23">SUM(K72-K73)</f>
        <v>65985.330636226063</v>
      </c>
      <c r="L74" s="33">
        <f t="shared" ref="L74" si="24">SUM(L72-L73)</f>
        <v>65655.403983044933</v>
      </c>
      <c r="M74" s="33">
        <f t="shared" ref="M74" si="25">SUM(M72-M73)</f>
        <v>65327.126963129704</v>
      </c>
      <c r="N74" s="33">
        <f t="shared" ref="N74" si="26">SUM(N72-N73)</f>
        <v>65000.491328314049</v>
      </c>
      <c r="O74" s="33">
        <f t="shared" ref="O74" si="27">SUM(O72-O73)</f>
        <v>64675.488871672482</v>
      </c>
      <c r="P74" s="33">
        <f t="shared" ref="P74" si="28">SUM(P72-P73)</f>
        <v>64352.111427314114</v>
      </c>
      <c r="Q74" s="33">
        <f t="shared" ref="Q74" si="29">SUM(Q72-Q73)</f>
        <v>64030.350870177543</v>
      </c>
      <c r="R74" s="33">
        <f t="shared" ref="R74" si="30">SUM(R72-R73)</f>
        <v>63710.199115826661</v>
      </c>
      <c r="S74" s="33">
        <f t="shared" ref="S74" si="31">SUM(S72-S73)</f>
        <v>63391.648120247526</v>
      </c>
      <c r="T74" s="33">
        <f t="shared" ref="T74" si="32">SUM(T72-T73)</f>
        <v>63074.689879646292</v>
      </c>
      <c r="U74" s="33">
        <f t="shared" ref="U74" si="33">SUM(U72-U73)</f>
        <v>62759.316430248073</v>
      </c>
      <c r="V74" s="33">
        <f t="shared" ref="V74" si="34">SUM(V72-V73)</f>
        <v>62445.519848096825</v>
      </c>
      <c r="W74" s="33">
        <f t="shared" ref="W74" si="35">SUM(W72-W73)</f>
        <v>62133.292248856349</v>
      </c>
      <c r="X74" s="33">
        <f t="shared" ref="X74" si="36">SUM(X72-X73)</f>
        <v>61822.625787612065</v>
      </c>
      <c r="Y74" s="33">
        <f t="shared" ref="Y74" si="37">SUM(Y72-Y73)</f>
        <v>61513.512658674008</v>
      </c>
      <c r="Z74" s="33">
        <f t="shared" ref="Z74" si="38">SUM(Z72-Z73)</f>
        <v>61205.945095380637</v>
      </c>
      <c r="AA74" s="33">
        <f t="shared" ref="AA74" si="39">SUM(AA72-AA73)</f>
        <v>60899.915369903727</v>
      </c>
      <c r="AB74" s="33">
        <f t="shared" ref="AB74" si="40">SUM(AB72-AB73)</f>
        <v>60595.415793054213</v>
      </c>
      <c r="AC74" s="33">
        <f t="shared" ref="AC74" si="41">SUM(AC72-AC73)</f>
        <v>60292.438714088945</v>
      </c>
    </row>
    <row r="75" spans="1:29">
      <c r="A75" s="11" t="s">
        <v>186</v>
      </c>
      <c r="B75" s="11" t="s">
        <v>118</v>
      </c>
      <c r="C75" s="11" t="s">
        <v>90</v>
      </c>
      <c r="D75" s="34"/>
      <c r="E75" s="34">
        <f>SUM(E73*E11)</f>
        <v>19125</v>
      </c>
      <c r="F75" s="34">
        <f t="shared" ref="F75:AC75" si="42">SUM(F73*F11)</f>
        <v>19029.375</v>
      </c>
      <c r="G75" s="34">
        <f t="shared" si="42"/>
        <v>18934.228125000001</v>
      </c>
      <c r="H75" s="34">
        <f t="shared" si="42"/>
        <v>18839.556984374998</v>
      </c>
      <c r="I75" s="34">
        <f t="shared" si="42"/>
        <v>18745.359199453123</v>
      </c>
      <c r="J75" s="34">
        <f t="shared" si="42"/>
        <v>18651.63240345586</v>
      </c>
      <c r="K75" s="34">
        <f t="shared" si="42"/>
        <v>18558.374241438578</v>
      </c>
      <c r="L75" s="34">
        <f t="shared" si="42"/>
        <v>18465.582370231386</v>
      </c>
      <c r="M75" s="34">
        <f t="shared" si="42"/>
        <v>18373.254458380226</v>
      </c>
      <c r="N75" s="34">
        <f t="shared" si="42"/>
        <v>18281.388186088327</v>
      </c>
      <c r="O75" s="34">
        <f t="shared" si="42"/>
        <v>18189.981245157884</v>
      </c>
      <c r="P75" s="34">
        <f t="shared" si="42"/>
        <v>18099.031338932095</v>
      </c>
      <c r="Q75" s="34">
        <f t="shared" si="42"/>
        <v>18008.536182237436</v>
      </c>
      <c r="R75" s="34">
        <f t="shared" si="42"/>
        <v>17918.493501326244</v>
      </c>
      <c r="S75" s="34">
        <f t="shared" si="42"/>
        <v>17828.901033819617</v>
      </c>
      <c r="T75" s="34">
        <f t="shared" si="42"/>
        <v>17739.75652865052</v>
      </c>
      <c r="U75" s="34">
        <f t="shared" si="42"/>
        <v>17651.057746007267</v>
      </c>
      <c r="V75" s="34">
        <f t="shared" si="42"/>
        <v>17562.802457277234</v>
      </c>
      <c r="W75" s="34">
        <f t="shared" si="42"/>
        <v>17474.988444990846</v>
      </c>
      <c r="X75" s="34">
        <f t="shared" si="42"/>
        <v>17387.613502765893</v>
      </c>
      <c r="Y75" s="34">
        <f t="shared" si="42"/>
        <v>17300.675435252062</v>
      </c>
      <c r="Z75" s="34">
        <f t="shared" si="42"/>
        <v>17214.172058075801</v>
      </c>
      <c r="AA75" s="34">
        <f t="shared" si="42"/>
        <v>17128.101197785421</v>
      </c>
      <c r="AB75" s="34">
        <f t="shared" si="42"/>
        <v>17042.460691796499</v>
      </c>
      <c r="AC75" s="34">
        <f t="shared" si="42"/>
        <v>16957.248388337513</v>
      </c>
    </row>
    <row r="76" spans="1:29">
      <c r="A76" s="11" t="s">
        <v>187</v>
      </c>
      <c r="B76" s="11" t="s">
        <v>120</v>
      </c>
      <c r="C76" s="11" t="s">
        <v>90</v>
      </c>
      <c r="D76" s="34"/>
      <c r="E76" s="34">
        <f>SUM(E74*Inputs!$C$40/100)</f>
        <v>4080</v>
      </c>
      <c r="F76" s="34">
        <f>SUM(F74*Inputs!$C$40/100)</f>
        <v>4059.6</v>
      </c>
      <c r="G76" s="34">
        <f>SUM(G74*Inputs!$C$40/100)</f>
        <v>4039.3019999999997</v>
      </c>
      <c r="H76" s="34">
        <f>SUM(H74*Inputs!$C$40/100)</f>
        <v>4019.1054900000004</v>
      </c>
      <c r="I76" s="34">
        <f>SUM(I74*Inputs!$C$40/100)</f>
        <v>3999.0099625500002</v>
      </c>
      <c r="J76" s="34">
        <f>SUM(J74*Inputs!$C$40/100)</f>
        <v>3979.0149127372492</v>
      </c>
      <c r="K76" s="34">
        <f>SUM(K74*Inputs!$C$40/100)</f>
        <v>3959.1198381735639</v>
      </c>
      <c r="L76" s="34">
        <f>SUM(L74*Inputs!$C$40/100)</f>
        <v>3939.324238982696</v>
      </c>
      <c r="M76" s="34">
        <f>SUM(M74*Inputs!$C$40/100)</f>
        <v>3919.6276177877821</v>
      </c>
      <c r="N76" s="34">
        <f>SUM(N74*Inputs!$C$40/100)</f>
        <v>3900.0294796988428</v>
      </c>
      <c r="O76" s="34">
        <f>SUM(O74*Inputs!$C$40/100)</f>
        <v>3880.5293323003489</v>
      </c>
      <c r="P76" s="34">
        <f>SUM(P74*Inputs!$C$40/100)</f>
        <v>3861.126685638847</v>
      </c>
      <c r="Q76" s="34">
        <f>SUM(Q74*Inputs!$C$40/100)</f>
        <v>3841.8210522106524</v>
      </c>
      <c r="R76" s="34">
        <f>SUM(R74*Inputs!$C$40/100)</f>
        <v>3822.6119469495998</v>
      </c>
      <c r="S76" s="34">
        <f>SUM(S74*Inputs!$C$40/100)</f>
        <v>3803.4988872148515</v>
      </c>
      <c r="T76" s="34">
        <f>SUM(T74*Inputs!$C$40/100)</f>
        <v>3784.4813927787777</v>
      </c>
      <c r="U76" s="34">
        <f>SUM(U74*Inputs!$C$40/100)</f>
        <v>3765.5589858148842</v>
      </c>
      <c r="V76" s="34">
        <f>SUM(V74*Inputs!$C$40/100)</f>
        <v>3746.7311908858096</v>
      </c>
      <c r="W76" s="34">
        <f>SUM(W74*Inputs!$C$40/100)</f>
        <v>3727.9975349313813</v>
      </c>
      <c r="X76" s="34">
        <f>SUM(X74*Inputs!$C$40/100)</f>
        <v>3709.357547256724</v>
      </c>
      <c r="Y76" s="34">
        <f>SUM(Y74*Inputs!$C$40/100)</f>
        <v>3690.8107595204406</v>
      </c>
      <c r="Z76" s="34">
        <f>SUM(Z74*Inputs!$C$40/100)</f>
        <v>3672.3567057228379</v>
      </c>
      <c r="AA76" s="34">
        <f>SUM(AA74*Inputs!$C$40/100)</f>
        <v>3653.9949221942238</v>
      </c>
      <c r="AB76" s="34">
        <f>SUM(AB74*Inputs!$C$40/100)</f>
        <v>3635.7249475832527</v>
      </c>
      <c r="AC76" s="34">
        <f>SUM(AC74*Inputs!$C$40/100)</f>
        <v>3617.5463228453368</v>
      </c>
    </row>
    <row r="77" spans="1:29">
      <c r="A77" s="12" t="s">
        <v>188</v>
      </c>
      <c r="B77" s="12" t="s">
        <v>122</v>
      </c>
      <c r="C77" s="12" t="s">
        <v>90</v>
      </c>
      <c r="D77" s="35"/>
      <c r="E77" s="35">
        <f>SUM(E75:E76)</f>
        <v>23205</v>
      </c>
      <c r="F77" s="35">
        <f t="shared" ref="F77:AC77" si="43">SUM(F75:F76)</f>
        <v>23088.974999999999</v>
      </c>
      <c r="G77" s="35">
        <f t="shared" si="43"/>
        <v>22973.530125000001</v>
      </c>
      <c r="H77" s="35">
        <f t="shared" si="43"/>
        <v>22858.662474375</v>
      </c>
      <c r="I77" s="35">
        <f t="shared" si="43"/>
        <v>22744.369162003124</v>
      </c>
      <c r="J77" s="35">
        <f t="shared" si="43"/>
        <v>22630.64731619311</v>
      </c>
      <c r="K77" s="35">
        <f t="shared" si="43"/>
        <v>22517.494079612141</v>
      </c>
      <c r="L77" s="35">
        <f t="shared" si="43"/>
        <v>22404.906609214082</v>
      </c>
      <c r="M77" s="35">
        <f t="shared" si="43"/>
        <v>22292.882076168007</v>
      </c>
      <c r="N77" s="35">
        <f t="shared" si="43"/>
        <v>22181.417665787169</v>
      </c>
      <c r="O77" s="35">
        <f t="shared" si="43"/>
        <v>22070.510577458233</v>
      </c>
      <c r="P77" s="35">
        <f t="shared" si="43"/>
        <v>21960.158024570941</v>
      </c>
      <c r="Q77" s="35">
        <f t="shared" si="43"/>
        <v>21850.357234448089</v>
      </c>
      <c r="R77" s="35">
        <f t="shared" si="43"/>
        <v>21741.105448275845</v>
      </c>
      <c r="S77" s="35">
        <f t="shared" si="43"/>
        <v>21632.39992103447</v>
      </c>
      <c r="T77" s="35">
        <f t="shared" si="43"/>
        <v>21524.237921429296</v>
      </c>
      <c r="U77" s="35">
        <f t="shared" si="43"/>
        <v>21416.616731822152</v>
      </c>
      <c r="V77" s="35">
        <f t="shared" si="43"/>
        <v>21309.533648163044</v>
      </c>
      <c r="W77" s="35">
        <f t="shared" si="43"/>
        <v>21202.985979922229</v>
      </c>
      <c r="X77" s="35">
        <f t="shared" si="43"/>
        <v>21096.971050022617</v>
      </c>
      <c r="Y77" s="35">
        <f t="shared" si="43"/>
        <v>20991.486194772504</v>
      </c>
      <c r="Z77" s="35">
        <f t="shared" si="43"/>
        <v>20886.52876379864</v>
      </c>
      <c r="AA77" s="35">
        <f t="shared" si="43"/>
        <v>20782.096119979644</v>
      </c>
      <c r="AB77" s="35">
        <f t="shared" si="43"/>
        <v>20678.185639379753</v>
      </c>
      <c r="AC77" s="35">
        <f t="shared" si="43"/>
        <v>20574.794711182851</v>
      </c>
    </row>
    <row r="78" spans="1:29">
      <c r="A78" s="21" t="s">
        <v>189</v>
      </c>
      <c r="B78" s="21" t="s">
        <v>124</v>
      </c>
      <c r="C78" s="21" t="s">
        <v>125</v>
      </c>
      <c r="D78" s="36"/>
      <c r="E78" s="36">
        <f>SUM(E72*Inputs!$C$41)</f>
        <v>35.198500000000003</v>
      </c>
      <c r="F78" s="36">
        <f>SUM(F72*Inputs!$C$41)</f>
        <v>35.022507500000003</v>
      </c>
      <c r="G78" s="36">
        <f>SUM(G72*Inputs!$C$41)</f>
        <v>34.847394962500005</v>
      </c>
      <c r="H78" s="36">
        <f>SUM(H72*Inputs!$C$41)</f>
        <v>34.673157987687503</v>
      </c>
      <c r="I78" s="36">
        <f>SUM(I72*Inputs!$C$41)</f>
        <v>34.499792197749066</v>
      </c>
      <c r="J78" s="36">
        <f>SUM(J72*Inputs!$C$41)</f>
        <v>34.327293236760319</v>
      </c>
      <c r="K78" s="36">
        <f>SUM(K72*Inputs!$C$41)</f>
        <v>34.15565677057652</v>
      </c>
      <c r="L78" s="36">
        <f>SUM(L72*Inputs!$C$41)</f>
        <v>33.98487848672363</v>
      </c>
      <c r="M78" s="36">
        <f>SUM(M72*Inputs!$C$41)</f>
        <v>33.814954094290016</v>
      </c>
      <c r="N78" s="36">
        <f>SUM(N72*Inputs!$C$41)</f>
        <v>33.645879323818562</v>
      </c>
      <c r="O78" s="36">
        <f>SUM(O72*Inputs!$C$41)</f>
        <v>33.477649927199472</v>
      </c>
      <c r="P78" s="36">
        <f>SUM(P72*Inputs!$C$41)</f>
        <v>33.310261677563474</v>
      </c>
      <c r="Q78" s="36">
        <f>SUM(Q72*Inputs!$C$41)</f>
        <v>33.143710369175658</v>
      </c>
      <c r="R78" s="36">
        <f>SUM(R72*Inputs!$C$41)</f>
        <v>32.977991817329773</v>
      </c>
      <c r="S78" s="36">
        <f>SUM(S72*Inputs!$C$41)</f>
        <v>32.81310185824313</v>
      </c>
      <c r="T78" s="36">
        <f>SUM(T72*Inputs!$C$41)</f>
        <v>32.649036348951917</v>
      </c>
      <c r="U78" s="36">
        <f>SUM(U72*Inputs!$C$41)</f>
        <v>32.485791167207154</v>
      </c>
      <c r="V78" s="36">
        <f>SUM(V72*Inputs!$C$41)</f>
        <v>32.323362211371119</v>
      </c>
      <c r="W78" s="36">
        <f>SUM(W72*Inputs!$C$41)</f>
        <v>32.161745400314267</v>
      </c>
      <c r="X78" s="36">
        <f>SUM(X72*Inputs!$C$41)</f>
        <v>32.000936673312694</v>
      </c>
      <c r="Y78" s="36">
        <f>SUM(Y72*Inputs!$C$41)</f>
        <v>31.840931989946132</v>
      </c>
      <c r="Z78" s="36">
        <f>SUM(Z72*Inputs!$C$41)</f>
        <v>31.681727329996402</v>
      </c>
      <c r="AA78" s="36">
        <f>SUM(AA72*Inputs!$C$41)</f>
        <v>31.523318693346418</v>
      </c>
      <c r="AB78" s="36">
        <f>SUM(AB72*Inputs!$C$41)</f>
        <v>31.365702099879691</v>
      </c>
      <c r="AC78" s="36">
        <f>SUM(AC72*Inputs!$C$41)</f>
        <v>31.208873589380293</v>
      </c>
    </row>
    <row r="79" spans="1:29">
      <c r="A79" s="13" t="s">
        <v>190</v>
      </c>
      <c r="B79" s="13" t="s">
        <v>127</v>
      </c>
      <c r="C79" s="13" t="s">
        <v>90</v>
      </c>
      <c r="D79" s="37"/>
      <c r="E79" s="37">
        <f>SUM(E73*E10)</f>
        <v>25500</v>
      </c>
      <c r="F79" s="37">
        <f t="shared" ref="F79:AC79" si="44">SUM(F73*F10)</f>
        <v>25372.5</v>
      </c>
      <c r="G79" s="37">
        <f t="shared" si="44"/>
        <v>25245.637500000001</v>
      </c>
      <c r="H79" s="37">
        <f t="shared" si="44"/>
        <v>25119.4093125</v>
      </c>
      <c r="I79" s="37">
        <f t="shared" si="44"/>
        <v>24993.8122659375</v>
      </c>
      <c r="J79" s="37">
        <f t="shared" si="44"/>
        <v>24868.843204607812</v>
      </c>
      <c r="K79" s="37">
        <f t="shared" si="44"/>
        <v>24744.498988584772</v>
      </c>
      <c r="L79" s="37">
        <f t="shared" si="44"/>
        <v>24620.776493641846</v>
      </c>
      <c r="M79" s="37">
        <f t="shared" si="44"/>
        <v>24497.672611173635</v>
      </c>
      <c r="N79" s="37">
        <f t="shared" si="44"/>
        <v>24375.18424811777</v>
      </c>
      <c r="O79" s="37">
        <f t="shared" si="44"/>
        <v>24253.308326877181</v>
      </c>
      <c r="P79" s="37">
        <f t="shared" si="44"/>
        <v>24132.041785242793</v>
      </c>
      <c r="Q79" s="37">
        <f t="shared" si="44"/>
        <v>24011.38157631658</v>
      </c>
      <c r="R79" s="37">
        <f t="shared" si="44"/>
        <v>23891.324668434994</v>
      </c>
      <c r="S79" s="37">
        <f t="shared" si="44"/>
        <v>23771.868045092822</v>
      </c>
      <c r="T79" s="37">
        <f t="shared" si="44"/>
        <v>23653.008704867359</v>
      </c>
      <c r="U79" s="37">
        <f t="shared" si="44"/>
        <v>23534.743661343022</v>
      </c>
      <c r="V79" s="37">
        <f t="shared" si="44"/>
        <v>23417.069943036309</v>
      </c>
      <c r="W79" s="37">
        <f t="shared" si="44"/>
        <v>23299.984593321129</v>
      </c>
      <c r="X79" s="37">
        <f t="shared" si="44"/>
        <v>23183.484670354523</v>
      </c>
      <c r="Y79" s="37">
        <f t="shared" si="44"/>
        <v>23067.567247002749</v>
      </c>
      <c r="Z79" s="37">
        <f t="shared" si="44"/>
        <v>22952.229410767733</v>
      </c>
      <c r="AA79" s="37">
        <f t="shared" si="44"/>
        <v>22837.468263713898</v>
      </c>
      <c r="AB79" s="37">
        <f t="shared" si="44"/>
        <v>22723.28092239533</v>
      </c>
      <c r="AC79" s="37">
        <f t="shared" si="44"/>
        <v>22609.664517783352</v>
      </c>
    </row>
    <row r="80" spans="1:29">
      <c r="A80" s="14" t="s">
        <v>191</v>
      </c>
      <c r="B80" s="14" t="s">
        <v>129</v>
      </c>
      <c r="C80" s="14" t="s">
        <v>90</v>
      </c>
      <c r="D80" s="38"/>
      <c r="E80" s="38">
        <f>SUM(E79-E75)</f>
        <v>6375</v>
      </c>
      <c r="F80" s="38">
        <f t="shared" ref="F80:AC80" si="45">SUM(F79-F75)</f>
        <v>6343.125</v>
      </c>
      <c r="G80" s="38">
        <f t="shared" si="45"/>
        <v>6311.4093749999993</v>
      </c>
      <c r="H80" s="38">
        <f t="shared" si="45"/>
        <v>6279.8523281250018</v>
      </c>
      <c r="I80" s="38">
        <f t="shared" si="45"/>
        <v>6248.4530664843769</v>
      </c>
      <c r="J80" s="38">
        <f t="shared" si="45"/>
        <v>6217.2108011519522</v>
      </c>
      <c r="K80" s="38">
        <f t="shared" si="45"/>
        <v>6186.1247471461938</v>
      </c>
      <c r="L80" s="38">
        <f t="shared" si="45"/>
        <v>6155.1941234104597</v>
      </c>
      <c r="M80" s="38">
        <f t="shared" si="45"/>
        <v>6124.4181527934088</v>
      </c>
      <c r="N80" s="38">
        <f t="shared" si="45"/>
        <v>6093.7960620294434</v>
      </c>
      <c r="O80" s="38">
        <f t="shared" si="45"/>
        <v>6063.327081719297</v>
      </c>
      <c r="P80" s="38">
        <f t="shared" si="45"/>
        <v>6033.0104463106982</v>
      </c>
      <c r="Q80" s="38">
        <f t="shared" si="45"/>
        <v>6002.8453940791442</v>
      </c>
      <c r="R80" s="38">
        <f t="shared" si="45"/>
        <v>5972.8311671087504</v>
      </c>
      <c r="S80" s="38">
        <f t="shared" si="45"/>
        <v>5942.9670112732056</v>
      </c>
      <c r="T80" s="38">
        <f t="shared" si="45"/>
        <v>5913.2521762168399</v>
      </c>
      <c r="U80" s="38">
        <f t="shared" si="45"/>
        <v>5883.6859153357545</v>
      </c>
      <c r="V80" s="38">
        <f t="shared" si="45"/>
        <v>5854.2674857590755</v>
      </c>
      <c r="W80" s="38">
        <f t="shared" si="45"/>
        <v>5824.9961483302832</v>
      </c>
      <c r="X80" s="38">
        <f t="shared" si="45"/>
        <v>5795.8711675886298</v>
      </c>
      <c r="Y80" s="38">
        <f t="shared" si="45"/>
        <v>5766.8918117506873</v>
      </c>
      <c r="Z80" s="38">
        <f t="shared" si="45"/>
        <v>5738.0573526919325</v>
      </c>
      <c r="AA80" s="38">
        <f t="shared" si="45"/>
        <v>5709.3670659284762</v>
      </c>
      <c r="AB80" s="38">
        <f t="shared" si="45"/>
        <v>5680.8202305988307</v>
      </c>
      <c r="AC80" s="38">
        <f t="shared" si="45"/>
        <v>5652.416129445839</v>
      </c>
    </row>
    <row r="81" spans="1:29">
      <c r="A81" s="9" t="s">
        <v>192</v>
      </c>
      <c r="B81" s="9" t="s">
        <v>131</v>
      </c>
      <c r="C81" s="9" t="s">
        <v>90</v>
      </c>
      <c r="D81" s="32">
        <f>SUM(D70*Inputs!$C$12)</f>
        <v>200000</v>
      </c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</row>
    <row r="82" spans="1:29">
      <c r="A82" s="9" t="s">
        <v>193</v>
      </c>
      <c r="B82" s="9" t="s">
        <v>157</v>
      </c>
      <c r="C82" s="9" t="s">
        <v>90</v>
      </c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>
        <f>SUM(D70*Inputs!$C$13)</f>
        <v>6000</v>
      </c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</row>
    <row r="83" spans="1:29">
      <c r="A83" s="9" t="s">
        <v>194</v>
      </c>
      <c r="B83" s="9" t="s">
        <v>135</v>
      </c>
      <c r="C83" s="9" t="s">
        <v>90</v>
      </c>
      <c r="D83" s="32">
        <f>SUM(D70*Inputs!$C$17)</f>
        <v>0</v>
      </c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</row>
    <row r="84" spans="1:29">
      <c r="A84" s="9" t="s">
        <v>195</v>
      </c>
      <c r="B84" s="9" t="s">
        <v>137</v>
      </c>
      <c r="C84" s="9" t="s">
        <v>90</v>
      </c>
      <c r="D84" s="32">
        <f>SUM(Inputs!$C$5*Inputs!$C$21)</f>
        <v>6000</v>
      </c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</row>
    <row r="85" spans="1:29">
      <c r="A85" s="9" t="s">
        <v>196</v>
      </c>
      <c r="B85" s="9" t="s">
        <v>139</v>
      </c>
      <c r="C85" s="9" t="s">
        <v>90</v>
      </c>
      <c r="D85" s="32"/>
      <c r="E85" s="32">
        <f>SUM($D$70*Inputs!$C$22)</f>
        <v>2000</v>
      </c>
      <c r="F85" s="32">
        <f>SUM($D$70*Inputs!$C$22)</f>
        <v>2000</v>
      </c>
      <c r="G85" s="32">
        <f>SUM($D$70*Inputs!$C$22)</f>
        <v>2000</v>
      </c>
      <c r="H85" s="32">
        <f>SUM($D$70*Inputs!$C$22)</f>
        <v>2000</v>
      </c>
      <c r="I85" s="32">
        <f>SUM($D$70*Inputs!$C$22)</f>
        <v>2000</v>
      </c>
      <c r="J85" s="32">
        <f>SUM($D$70*Inputs!$C$22)</f>
        <v>2000</v>
      </c>
      <c r="K85" s="32">
        <f>SUM($D$70*Inputs!$C$22)</f>
        <v>2000</v>
      </c>
      <c r="L85" s="32">
        <f>SUM($D$70*Inputs!$C$22)</f>
        <v>2000</v>
      </c>
      <c r="M85" s="32">
        <f>SUM($D$70*Inputs!$C$22)</f>
        <v>2000</v>
      </c>
      <c r="N85" s="32">
        <f>SUM($D$70*Inputs!$C$22)</f>
        <v>2000</v>
      </c>
      <c r="O85" s="32">
        <f>SUM($D$70*Inputs!$C$22)</f>
        <v>2000</v>
      </c>
      <c r="P85" s="32">
        <f>SUM($D$70*Inputs!$C$22)</f>
        <v>2000</v>
      </c>
      <c r="Q85" s="32">
        <f>SUM($D$70*Inputs!$C$22)</f>
        <v>2000</v>
      </c>
      <c r="R85" s="32">
        <f>SUM($D$70*Inputs!$C$22)</f>
        <v>2000</v>
      </c>
      <c r="S85" s="32">
        <f>SUM($D$70*Inputs!$C$22)</f>
        <v>2000</v>
      </c>
      <c r="T85" s="32">
        <f>SUM($D$70*Inputs!$C$22)</f>
        <v>2000</v>
      </c>
      <c r="U85" s="32">
        <f>SUM($D$70*Inputs!$C$22)</f>
        <v>2000</v>
      </c>
      <c r="V85" s="32">
        <f>SUM($D$70*Inputs!$C$22)</f>
        <v>2000</v>
      </c>
      <c r="W85" s="32">
        <f>SUM($D$70*Inputs!$C$22)</f>
        <v>2000</v>
      </c>
      <c r="X85" s="32">
        <f>SUM($D$70*Inputs!$C$22)</f>
        <v>2000</v>
      </c>
      <c r="Y85" s="32">
        <f>SUM($D$70*Inputs!$C$22)</f>
        <v>2000</v>
      </c>
      <c r="Z85" s="32">
        <f>SUM($D$70*Inputs!$C$22)</f>
        <v>2000</v>
      </c>
      <c r="AA85" s="32">
        <f>SUM($D$70*Inputs!$C$22)</f>
        <v>2000</v>
      </c>
      <c r="AB85" s="32">
        <f>SUM($D$70*Inputs!$C$22)</f>
        <v>2000</v>
      </c>
      <c r="AC85" s="32">
        <f>SUM($D$70*Inputs!$C$22)</f>
        <v>2000</v>
      </c>
    </row>
    <row r="86" spans="1:29">
      <c r="A86" s="9" t="s">
        <v>197</v>
      </c>
      <c r="B86" s="9" t="s">
        <v>141</v>
      </c>
      <c r="C86" s="9" t="s">
        <v>90</v>
      </c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>
        <f>SUM(D70*Inputs!$C$27)</f>
        <v>60000</v>
      </c>
    </row>
    <row r="87" spans="1:29">
      <c r="A87" s="15" t="s">
        <v>198</v>
      </c>
      <c r="B87" s="15" t="s">
        <v>143</v>
      </c>
      <c r="C87" s="15" t="s">
        <v>90</v>
      </c>
      <c r="D87" s="39">
        <f>SUM(D81:D86)</f>
        <v>206000</v>
      </c>
      <c r="E87" s="39">
        <f t="shared" ref="E87:AC87" si="46">SUM(E81:E86)</f>
        <v>2000</v>
      </c>
      <c r="F87" s="39">
        <f t="shared" si="46"/>
        <v>2000</v>
      </c>
      <c r="G87" s="39">
        <f t="shared" si="46"/>
        <v>2000</v>
      </c>
      <c r="H87" s="39">
        <f t="shared" si="46"/>
        <v>2000</v>
      </c>
      <c r="I87" s="39">
        <f t="shared" si="46"/>
        <v>2000</v>
      </c>
      <c r="J87" s="39">
        <f t="shared" si="46"/>
        <v>2000</v>
      </c>
      <c r="K87" s="39">
        <f t="shared" si="46"/>
        <v>2000</v>
      </c>
      <c r="L87" s="39">
        <f t="shared" si="46"/>
        <v>2000</v>
      </c>
      <c r="M87" s="39">
        <f t="shared" si="46"/>
        <v>2000</v>
      </c>
      <c r="N87" s="39">
        <f t="shared" si="46"/>
        <v>2000</v>
      </c>
      <c r="O87" s="39">
        <f t="shared" si="46"/>
        <v>2000</v>
      </c>
      <c r="P87" s="39">
        <f t="shared" si="46"/>
        <v>2000</v>
      </c>
      <c r="Q87" s="39">
        <f t="shared" si="46"/>
        <v>8000</v>
      </c>
      <c r="R87" s="39">
        <f t="shared" si="46"/>
        <v>2000</v>
      </c>
      <c r="S87" s="39">
        <f t="shared" si="46"/>
        <v>2000</v>
      </c>
      <c r="T87" s="39">
        <f t="shared" si="46"/>
        <v>2000</v>
      </c>
      <c r="U87" s="39">
        <f t="shared" si="46"/>
        <v>2000</v>
      </c>
      <c r="V87" s="39">
        <f t="shared" si="46"/>
        <v>2000</v>
      </c>
      <c r="W87" s="39">
        <f t="shared" si="46"/>
        <v>2000</v>
      </c>
      <c r="X87" s="39">
        <f t="shared" si="46"/>
        <v>2000</v>
      </c>
      <c r="Y87" s="39">
        <f t="shared" si="46"/>
        <v>2000</v>
      </c>
      <c r="Z87" s="39">
        <f t="shared" si="46"/>
        <v>2000</v>
      </c>
      <c r="AA87" s="39">
        <f t="shared" si="46"/>
        <v>2000</v>
      </c>
      <c r="AB87" s="39">
        <f t="shared" si="46"/>
        <v>2000</v>
      </c>
      <c r="AC87" s="39">
        <f t="shared" si="46"/>
        <v>62000</v>
      </c>
    </row>
    <row r="88" spans="1:29">
      <c r="A88" s="24"/>
      <c r="B88" s="24"/>
      <c r="C88" s="24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</row>
    <row r="89" spans="1:29">
      <c r="A89" s="16" t="s">
        <v>199</v>
      </c>
      <c r="B89" s="16" t="s">
        <v>200</v>
      </c>
      <c r="C89" s="16" t="s">
        <v>90</v>
      </c>
      <c r="D89" s="41"/>
      <c r="E89" s="41">
        <f>SUM(E80+E61+E42+E23)</f>
        <v>20718.75</v>
      </c>
      <c r="F89" s="41">
        <f t="shared" ref="F89:AC89" si="47">SUM(F80+F61+F42+F23)</f>
        <v>20615.15625</v>
      </c>
      <c r="G89" s="41">
        <f t="shared" si="47"/>
        <v>20512.080468749995</v>
      </c>
      <c r="H89" s="41">
        <f t="shared" si="47"/>
        <v>20409.52006640625</v>
      </c>
      <c r="I89" s="41">
        <f t="shared" si="47"/>
        <v>20307.472466074221</v>
      </c>
      <c r="J89" s="41">
        <f t="shared" si="47"/>
        <v>20205.935103743846</v>
      </c>
      <c r="K89" s="41">
        <f t="shared" si="47"/>
        <v>20104.905428225127</v>
      </c>
      <c r="L89" s="41">
        <f t="shared" si="47"/>
        <v>20004.380901083998</v>
      </c>
      <c r="M89" s="41">
        <f t="shared" si="47"/>
        <v>19904.35899657858</v>
      </c>
      <c r="N89" s="41">
        <f t="shared" si="47"/>
        <v>19804.837201595688</v>
      </c>
      <c r="O89" s="41">
        <f t="shared" si="47"/>
        <v>19705.813015587712</v>
      </c>
      <c r="P89" s="41">
        <f t="shared" si="47"/>
        <v>19607.283950509773</v>
      </c>
      <c r="Q89" s="41">
        <f t="shared" si="47"/>
        <v>19509.247530757224</v>
      </c>
      <c r="R89" s="41">
        <f t="shared" si="47"/>
        <v>19411.701293103437</v>
      </c>
      <c r="S89" s="41">
        <f t="shared" si="47"/>
        <v>19314.642786637916</v>
      </c>
      <c r="T89" s="41">
        <f t="shared" si="47"/>
        <v>19218.069572704731</v>
      </c>
      <c r="U89" s="41">
        <f t="shared" si="47"/>
        <v>19121.979224841205</v>
      </c>
      <c r="V89" s="41">
        <f t="shared" si="47"/>
        <v>19026.369328716995</v>
      </c>
      <c r="W89" s="41">
        <f t="shared" si="47"/>
        <v>18931.237482073415</v>
      </c>
      <c r="X89" s="41">
        <f t="shared" si="47"/>
        <v>18836.581294663047</v>
      </c>
      <c r="Y89" s="41">
        <f t="shared" si="47"/>
        <v>18742.398388189733</v>
      </c>
      <c r="Z89" s="41">
        <f t="shared" si="47"/>
        <v>18648.686396248781</v>
      </c>
      <c r="AA89" s="41">
        <f t="shared" si="47"/>
        <v>18555.442964267542</v>
      </c>
      <c r="AB89" s="41">
        <f t="shared" si="47"/>
        <v>18462.665749446202</v>
      </c>
      <c r="AC89" s="41">
        <f t="shared" si="47"/>
        <v>18370.352420698975</v>
      </c>
    </row>
    <row r="90" spans="1:29">
      <c r="A90" s="24"/>
      <c r="B90" s="24"/>
      <c r="C90" s="24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</row>
    <row r="91" spans="1:29">
      <c r="A91" s="25" t="s">
        <v>201</v>
      </c>
      <c r="B91" s="25" t="s">
        <v>200</v>
      </c>
      <c r="C91" s="25" t="s">
        <v>110</v>
      </c>
      <c r="D91" s="42"/>
      <c r="E91" s="42">
        <f>SUM(E72+E53+E34+E15)</f>
        <v>552500</v>
      </c>
      <c r="F91" s="42">
        <f t="shared" ref="F91:AC91" si="48">SUM(F72+F53+F34+F15)</f>
        <v>549737.5</v>
      </c>
      <c r="G91" s="42">
        <f t="shared" si="48"/>
        <v>546988.8125</v>
      </c>
      <c r="H91" s="42">
        <f t="shared" si="48"/>
        <v>544253.86843750009</v>
      </c>
      <c r="I91" s="42">
        <f t="shared" si="48"/>
        <v>541532.59909531253</v>
      </c>
      <c r="J91" s="42">
        <f t="shared" si="48"/>
        <v>538824.9360998359</v>
      </c>
      <c r="K91" s="42">
        <f t="shared" si="48"/>
        <v>536130.81141933671</v>
      </c>
      <c r="L91" s="42">
        <f t="shared" si="48"/>
        <v>533450.15736224002</v>
      </c>
      <c r="M91" s="42">
        <f t="shared" si="48"/>
        <v>530782.90657542879</v>
      </c>
      <c r="N91" s="42">
        <f t="shared" si="48"/>
        <v>528128.99204255175</v>
      </c>
      <c r="O91" s="42">
        <f t="shared" si="48"/>
        <v>525488.34708233899</v>
      </c>
      <c r="P91" s="42">
        <f t="shared" si="48"/>
        <v>522860.90534692723</v>
      </c>
      <c r="Q91" s="42">
        <f t="shared" si="48"/>
        <v>520246.6008201926</v>
      </c>
      <c r="R91" s="42">
        <f t="shared" si="48"/>
        <v>517645.36781609157</v>
      </c>
      <c r="S91" s="42">
        <f t="shared" si="48"/>
        <v>515057.14097701118</v>
      </c>
      <c r="T91" s="42">
        <f t="shared" si="48"/>
        <v>512481.85527212615</v>
      </c>
      <c r="U91" s="42">
        <f t="shared" si="48"/>
        <v>509919.44599576551</v>
      </c>
      <c r="V91" s="42">
        <f t="shared" si="48"/>
        <v>507369.84876578668</v>
      </c>
      <c r="W91" s="42">
        <f t="shared" si="48"/>
        <v>504832.99952195777</v>
      </c>
      <c r="X91" s="42">
        <f t="shared" si="48"/>
        <v>502308.83452434797</v>
      </c>
      <c r="Y91" s="42">
        <f t="shared" si="48"/>
        <v>499797.29035172623</v>
      </c>
      <c r="Z91" s="42">
        <f t="shared" si="48"/>
        <v>497298.30389996764</v>
      </c>
      <c r="AA91" s="42">
        <f t="shared" si="48"/>
        <v>494811.81238046777</v>
      </c>
      <c r="AB91" s="42">
        <f t="shared" si="48"/>
        <v>492337.75331856543</v>
      </c>
      <c r="AC91" s="42">
        <f t="shared" si="48"/>
        <v>489876.06455197267</v>
      </c>
    </row>
    <row r="92" spans="1:29">
      <c r="A92" s="25" t="s">
        <v>202</v>
      </c>
      <c r="B92" s="25" t="s">
        <v>200</v>
      </c>
      <c r="C92" s="25" t="s">
        <v>125</v>
      </c>
      <c r="D92" s="42"/>
      <c r="E92" s="42">
        <f>SUM(E78+E59+E40+E21)</f>
        <v>114.39512500000001</v>
      </c>
      <c r="F92" s="42">
        <f t="shared" ref="F92:AC92" si="49">SUM(F78+F59+F40+F21)</f>
        <v>113.82314937500001</v>
      </c>
      <c r="G92" s="42">
        <f t="shared" si="49"/>
        <v>113.254033628125</v>
      </c>
      <c r="H92" s="42">
        <f t="shared" si="49"/>
        <v>112.68776345998438</v>
      </c>
      <c r="I92" s="42">
        <f t="shared" si="49"/>
        <v>112.12432464268446</v>
      </c>
      <c r="J92" s="42">
        <f t="shared" si="49"/>
        <v>111.56370301947103</v>
      </c>
      <c r="K92" s="42">
        <f t="shared" si="49"/>
        <v>111.00588450437368</v>
      </c>
      <c r="L92" s="42">
        <f t="shared" si="49"/>
        <v>110.45085508185181</v>
      </c>
      <c r="M92" s="42">
        <f t="shared" si="49"/>
        <v>109.89860080644256</v>
      </c>
      <c r="N92" s="42">
        <f t="shared" si="49"/>
        <v>109.34910780241033</v>
      </c>
      <c r="O92" s="42">
        <f t="shared" si="49"/>
        <v>108.80236226339829</v>
      </c>
      <c r="P92" s="42">
        <f t="shared" si="49"/>
        <v>108.25835045208129</v>
      </c>
      <c r="Q92" s="42">
        <f t="shared" si="49"/>
        <v>107.71705869982088</v>
      </c>
      <c r="R92" s="42">
        <f t="shared" si="49"/>
        <v>107.17847340632179</v>
      </c>
      <c r="S92" s="42">
        <f t="shared" si="49"/>
        <v>106.64258103929016</v>
      </c>
      <c r="T92" s="42">
        <f t="shared" si="49"/>
        <v>106.10936813409373</v>
      </c>
      <c r="U92" s="42">
        <f t="shared" si="49"/>
        <v>105.57882129342326</v>
      </c>
      <c r="V92" s="42">
        <f t="shared" si="49"/>
        <v>105.05092718695614</v>
      </c>
      <c r="W92" s="42">
        <f t="shared" si="49"/>
        <v>104.52567255102136</v>
      </c>
      <c r="X92" s="42">
        <f t="shared" si="49"/>
        <v>104.00304418826627</v>
      </c>
      <c r="Y92" s="42">
        <f t="shared" si="49"/>
        <v>103.48302896732493</v>
      </c>
      <c r="Z92" s="42">
        <f t="shared" si="49"/>
        <v>102.96561382248831</v>
      </c>
      <c r="AA92" s="42">
        <f t="shared" si="49"/>
        <v>102.45078575337585</v>
      </c>
      <c r="AB92" s="42">
        <f t="shared" si="49"/>
        <v>101.93853182460899</v>
      </c>
      <c r="AC92" s="42">
        <f t="shared" si="49"/>
        <v>101.42883916548594</v>
      </c>
    </row>
    <row r="93" spans="1:29">
      <c r="A93" s="24"/>
      <c r="B93" s="24"/>
      <c r="C93" s="24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</row>
    <row r="94" spans="1:29">
      <c r="A94" s="17" t="s">
        <v>203</v>
      </c>
      <c r="B94" s="17" t="s">
        <v>200</v>
      </c>
      <c r="C94" s="17" t="s">
        <v>90</v>
      </c>
      <c r="D94" s="43"/>
      <c r="E94" s="43">
        <f>SUM(E75+E56+E37+E18)</f>
        <v>62156.25</v>
      </c>
      <c r="F94" s="43">
        <f t="shared" ref="F94:AC94" si="50">SUM(F75+F56+F37+F18)</f>
        <v>61845.46875</v>
      </c>
      <c r="G94" s="43">
        <f t="shared" si="50"/>
        <v>61536.241406250003</v>
      </c>
      <c r="H94" s="43">
        <f t="shared" si="50"/>
        <v>61228.560199218744</v>
      </c>
      <c r="I94" s="43">
        <f t="shared" si="50"/>
        <v>60922.417398222649</v>
      </c>
      <c r="J94" s="43">
        <f t="shared" si="50"/>
        <v>60617.805311231539</v>
      </c>
      <c r="K94" s="43">
        <f t="shared" si="50"/>
        <v>60314.716284675378</v>
      </c>
      <c r="L94" s="43">
        <f t="shared" si="50"/>
        <v>60013.142703252015</v>
      </c>
      <c r="M94" s="43">
        <f t="shared" si="50"/>
        <v>59713.076989735746</v>
      </c>
      <c r="N94" s="43">
        <f t="shared" si="50"/>
        <v>59414.511604787062</v>
      </c>
      <c r="O94" s="43">
        <f t="shared" si="50"/>
        <v>59117.439046763131</v>
      </c>
      <c r="P94" s="43">
        <f t="shared" si="50"/>
        <v>58821.851851529311</v>
      </c>
      <c r="Q94" s="43">
        <f t="shared" si="50"/>
        <v>58527.742592271665</v>
      </c>
      <c r="R94" s="43">
        <f t="shared" si="50"/>
        <v>58235.1038793103</v>
      </c>
      <c r="S94" s="43">
        <f t="shared" si="50"/>
        <v>57943.928359913756</v>
      </c>
      <c r="T94" s="43">
        <f t="shared" si="50"/>
        <v>57654.208718114191</v>
      </c>
      <c r="U94" s="43">
        <f t="shared" si="50"/>
        <v>57365.937674523622</v>
      </c>
      <c r="V94" s="43">
        <f t="shared" si="50"/>
        <v>57079.107986151008</v>
      </c>
      <c r="W94" s="43">
        <f t="shared" si="50"/>
        <v>56793.712446220248</v>
      </c>
      <c r="X94" s="43">
        <f t="shared" si="50"/>
        <v>56509.74388398914</v>
      </c>
      <c r="Y94" s="43">
        <f t="shared" si="50"/>
        <v>56227.19516456921</v>
      </c>
      <c r="Z94" s="43">
        <f t="shared" si="50"/>
        <v>55946.05918874636</v>
      </c>
      <c r="AA94" s="43">
        <f t="shared" si="50"/>
        <v>55666.328892802623</v>
      </c>
      <c r="AB94" s="43">
        <f t="shared" si="50"/>
        <v>55387.997248338608</v>
      </c>
      <c r="AC94" s="43">
        <f t="shared" si="50"/>
        <v>55111.057262096918</v>
      </c>
    </row>
    <row r="95" spans="1:29">
      <c r="A95" s="17" t="s">
        <v>204</v>
      </c>
      <c r="B95" s="17" t="s">
        <v>200</v>
      </c>
      <c r="C95" s="17" t="s">
        <v>90</v>
      </c>
      <c r="D95" s="43"/>
      <c r="E95" s="43">
        <f>SUM(E76+E57+E38+E19)</f>
        <v>13260</v>
      </c>
      <c r="F95" s="43">
        <f t="shared" ref="F95:AC95" si="51">SUM(F76+F57+F38+F19)</f>
        <v>13193.7</v>
      </c>
      <c r="G95" s="43">
        <f t="shared" si="51"/>
        <v>13127.731500000002</v>
      </c>
      <c r="H95" s="43">
        <f t="shared" si="51"/>
        <v>13062.092842499998</v>
      </c>
      <c r="I95" s="43">
        <f t="shared" si="51"/>
        <v>12996.7823782875</v>
      </c>
      <c r="J95" s="43">
        <f t="shared" si="51"/>
        <v>12931.798466396063</v>
      </c>
      <c r="K95" s="43">
        <f t="shared" si="51"/>
        <v>12867.139474064083</v>
      </c>
      <c r="L95" s="43">
        <f t="shared" si="51"/>
        <v>12802.80377669376</v>
      </c>
      <c r="M95" s="43">
        <f t="shared" si="51"/>
        <v>12738.789757810293</v>
      </c>
      <c r="N95" s="43">
        <f t="shared" si="51"/>
        <v>12675.095809021241</v>
      </c>
      <c r="O95" s="43">
        <f t="shared" si="51"/>
        <v>12611.720329976133</v>
      </c>
      <c r="P95" s="43">
        <f t="shared" si="51"/>
        <v>12548.661728326257</v>
      </c>
      <c r="Q95" s="43">
        <f t="shared" si="51"/>
        <v>12485.918419684624</v>
      </c>
      <c r="R95" s="43">
        <f t="shared" si="51"/>
        <v>12423.488827586199</v>
      </c>
      <c r="S95" s="43">
        <f t="shared" si="51"/>
        <v>12361.371383448268</v>
      </c>
      <c r="T95" s="43">
        <f t="shared" si="51"/>
        <v>12299.564526531029</v>
      </c>
      <c r="U95" s="43">
        <f t="shared" si="51"/>
        <v>12238.066703898374</v>
      </c>
      <c r="V95" s="43">
        <f t="shared" si="51"/>
        <v>12176.876370378881</v>
      </c>
      <c r="W95" s="43">
        <f t="shared" si="51"/>
        <v>12115.991988526986</v>
      </c>
      <c r="X95" s="43">
        <f t="shared" si="51"/>
        <v>12055.412028584355</v>
      </c>
      <c r="Y95" s="43">
        <f t="shared" si="51"/>
        <v>11995.134968441431</v>
      </c>
      <c r="Z95" s="43">
        <f t="shared" si="51"/>
        <v>11935.159293599221</v>
      </c>
      <c r="AA95" s="43">
        <f t="shared" si="51"/>
        <v>11875.483497131227</v>
      </c>
      <c r="AB95" s="43">
        <f t="shared" si="51"/>
        <v>11816.106079645571</v>
      </c>
      <c r="AC95" s="43">
        <f t="shared" si="51"/>
        <v>11757.025549247341</v>
      </c>
    </row>
    <row r="96" spans="1:29">
      <c r="A96" s="18" t="s">
        <v>205</v>
      </c>
      <c r="B96" s="18" t="s">
        <v>200</v>
      </c>
      <c r="C96" s="18" t="s">
        <v>90</v>
      </c>
      <c r="D96" s="44"/>
      <c r="E96" s="44">
        <f>SUM(E94:E95)</f>
        <v>75416.25</v>
      </c>
      <c r="F96" s="44">
        <f t="shared" ref="F96:AC96" si="52">SUM(F94:F95)</f>
        <v>75039.168749999997</v>
      </c>
      <c r="G96" s="44">
        <f t="shared" si="52"/>
        <v>74663.972906250012</v>
      </c>
      <c r="H96" s="44">
        <f t="shared" si="52"/>
        <v>74290.653041718746</v>
      </c>
      <c r="I96" s="44">
        <f t="shared" si="52"/>
        <v>73919.199776510155</v>
      </c>
      <c r="J96" s="44">
        <f t="shared" si="52"/>
        <v>73549.603777627606</v>
      </c>
      <c r="K96" s="44">
        <f t="shared" si="52"/>
        <v>73181.855758739461</v>
      </c>
      <c r="L96" s="44">
        <f t="shared" si="52"/>
        <v>72815.946479945778</v>
      </c>
      <c r="M96" s="44">
        <f t="shared" si="52"/>
        <v>72451.866747546039</v>
      </c>
      <c r="N96" s="44">
        <f t="shared" si="52"/>
        <v>72089.607413808306</v>
      </c>
      <c r="O96" s="44">
        <f t="shared" si="52"/>
        <v>71729.159376739262</v>
      </c>
      <c r="P96" s="44">
        <f t="shared" si="52"/>
        <v>71370.513579855571</v>
      </c>
      <c r="Q96" s="44">
        <f t="shared" si="52"/>
        <v>71013.661011956283</v>
      </c>
      <c r="R96" s="44">
        <f t="shared" si="52"/>
        <v>70658.592706896496</v>
      </c>
      <c r="S96" s="44">
        <f t="shared" si="52"/>
        <v>70305.299743362018</v>
      </c>
      <c r="T96" s="44">
        <f t="shared" si="52"/>
        <v>69953.773244645214</v>
      </c>
      <c r="U96" s="44">
        <f t="shared" si="52"/>
        <v>69604.004378421989</v>
      </c>
      <c r="V96" s="44">
        <f t="shared" si="52"/>
        <v>69255.984356529894</v>
      </c>
      <c r="W96" s="44">
        <f t="shared" si="52"/>
        <v>68909.70443474724</v>
      </c>
      <c r="X96" s="44">
        <f t="shared" si="52"/>
        <v>68565.155912573493</v>
      </c>
      <c r="Y96" s="44">
        <f t="shared" si="52"/>
        <v>68222.330133010633</v>
      </c>
      <c r="Z96" s="44">
        <f t="shared" si="52"/>
        <v>67881.218482345575</v>
      </c>
      <c r="AA96" s="44">
        <f t="shared" si="52"/>
        <v>67541.812389933853</v>
      </c>
      <c r="AB96" s="44">
        <f t="shared" si="52"/>
        <v>67204.103327984179</v>
      </c>
      <c r="AC96" s="44">
        <f t="shared" si="52"/>
        <v>66868.082811344255</v>
      </c>
    </row>
    <row r="97" spans="1:29">
      <c r="A97" s="24"/>
      <c r="B97" s="24"/>
      <c r="C97" s="24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</row>
    <row r="98" spans="1:29">
      <c r="A98" s="19" t="s">
        <v>206</v>
      </c>
      <c r="B98" s="19" t="s">
        <v>200</v>
      </c>
      <c r="C98" s="19" t="s">
        <v>90</v>
      </c>
      <c r="D98" s="45">
        <f>SUM(D3:D8)</f>
        <v>6600</v>
      </c>
      <c r="E98" s="45">
        <f t="shared" ref="E98:AC98" si="53">SUM(E3:E8)</f>
        <v>1320</v>
      </c>
      <c r="F98" s="45">
        <f t="shared" si="53"/>
        <v>1320</v>
      </c>
      <c r="G98" s="45">
        <f t="shared" si="53"/>
        <v>1320</v>
      </c>
      <c r="H98" s="45">
        <f t="shared" si="53"/>
        <v>1320</v>
      </c>
      <c r="I98" s="45">
        <f t="shared" si="53"/>
        <v>1320</v>
      </c>
      <c r="J98" s="45">
        <f t="shared" si="53"/>
        <v>1320</v>
      </c>
      <c r="K98" s="45">
        <f t="shared" si="53"/>
        <v>1320</v>
      </c>
      <c r="L98" s="45">
        <f t="shared" si="53"/>
        <v>1320</v>
      </c>
      <c r="M98" s="45">
        <f t="shared" si="53"/>
        <v>1320</v>
      </c>
      <c r="N98" s="45">
        <f t="shared" si="53"/>
        <v>1320</v>
      </c>
      <c r="O98" s="45">
        <f t="shared" si="53"/>
        <v>1320</v>
      </c>
      <c r="P98" s="45">
        <f t="shared" si="53"/>
        <v>1320</v>
      </c>
      <c r="Q98" s="45">
        <f t="shared" si="53"/>
        <v>1320</v>
      </c>
      <c r="R98" s="45">
        <f t="shared" si="53"/>
        <v>1320</v>
      </c>
      <c r="S98" s="45">
        <f t="shared" si="53"/>
        <v>1320</v>
      </c>
      <c r="T98" s="45">
        <f t="shared" si="53"/>
        <v>1320</v>
      </c>
      <c r="U98" s="45">
        <f t="shared" si="53"/>
        <v>1320</v>
      </c>
      <c r="V98" s="45">
        <f t="shared" si="53"/>
        <v>1320</v>
      </c>
      <c r="W98" s="45">
        <f t="shared" si="53"/>
        <v>1320</v>
      </c>
      <c r="X98" s="45">
        <f t="shared" si="53"/>
        <v>1320</v>
      </c>
      <c r="Y98" s="45">
        <f t="shared" si="53"/>
        <v>1320</v>
      </c>
      <c r="Z98" s="45">
        <f t="shared" si="53"/>
        <v>1320</v>
      </c>
      <c r="AA98" s="45">
        <f t="shared" si="53"/>
        <v>1320</v>
      </c>
      <c r="AB98" s="45">
        <f t="shared" si="53"/>
        <v>1320</v>
      </c>
      <c r="AC98" s="45">
        <f t="shared" si="53"/>
        <v>1320</v>
      </c>
    </row>
    <row r="99" spans="1:29">
      <c r="A99" s="19" t="s">
        <v>207</v>
      </c>
      <c r="B99" s="19" t="s">
        <v>200</v>
      </c>
      <c r="C99" s="19" t="s">
        <v>90</v>
      </c>
      <c r="D99" s="45">
        <f>SUM(D87+D68+D49+D30)</f>
        <v>667250</v>
      </c>
      <c r="E99" s="45">
        <f t="shared" ref="E99:AC99" si="54">SUM(E87+E68+E49+E30)</f>
        <v>6500</v>
      </c>
      <c r="F99" s="45">
        <f t="shared" si="54"/>
        <v>6500</v>
      </c>
      <c r="G99" s="45">
        <f t="shared" si="54"/>
        <v>6500</v>
      </c>
      <c r="H99" s="45">
        <f t="shared" si="54"/>
        <v>6500</v>
      </c>
      <c r="I99" s="45">
        <f t="shared" si="54"/>
        <v>6500</v>
      </c>
      <c r="J99" s="45">
        <f t="shared" si="54"/>
        <v>6500</v>
      </c>
      <c r="K99" s="45">
        <f t="shared" si="54"/>
        <v>6500</v>
      </c>
      <c r="L99" s="45">
        <f t="shared" si="54"/>
        <v>6500</v>
      </c>
      <c r="M99" s="45">
        <f t="shared" si="54"/>
        <v>6500</v>
      </c>
      <c r="N99" s="45">
        <f t="shared" si="54"/>
        <v>6500</v>
      </c>
      <c r="O99" s="45">
        <f t="shared" si="54"/>
        <v>6500</v>
      </c>
      <c r="P99" s="45">
        <f t="shared" si="54"/>
        <v>6500</v>
      </c>
      <c r="Q99" s="45">
        <f t="shared" si="54"/>
        <v>26000</v>
      </c>
      <c r="R99" s="45">
        <f t="shared" si="54"/>
        <v>6500</v>
      </c>
      <c r="S99" s="45">
        <f t="shared" si="54"/>
        <v>6500</v>
      </c>
      <c r="T99" s="45">
        <f t="shared" si="54"/>
        <v>6500</v>
      </c>
      <c r="U99" s="45">
        <f t="shared" si="54"/>
        <v>6500</v>
      </c>
      <c r="V99" s="45">
        <f t="shared" si="54"/>
        <v>6500</v>
      </c>
      <c r="W99" s="45">
        <f t="shared" si="54"/>
        <v>6500</v>
      </c>
      <c r="X99" s="45">
        <f t="shared" si="54"/>
        <v>6500</v>
      </c>
      <c r="Y99" s="45">
        <f t="shared" si="54"/>
        <v>6500</v>
      </c>
      <c r="Z99" s="45">
        <f t="shared" si="54"/>
        <v>6500</v>
      </c>
      <c r="AA99" s="45">
        <f t="shared" si="54"/>
        <v>6500</v>
      </c>
      <c r="AB99" s="45">
        <f t="shared" si="54"/>
        <v>6500</v>
      </c>
      <c r="AC99" s="45">
        <f t="shared" si="54"/>
        <v>201500</v>
      </c>
    </row>
    <row r="100" spans="1:29">
      <c r="A100" s="20" t="s">
        <v>208</v>
      </c>
      <c r="B100" s="20" t="s">
        <v>200</v>
      </c>
      <c r="C100" s="20" t="s">
        <v>90</v>
      </c>
      <c r="D100" s="46">
        <f>SUM(D98:D99)</f>
        <v>673850</v>
      </c>
      <c r="E100" s="46">
        <f t="shared" ref="E100:AC100" si="55">SUM(E98:E99)</f>
        <v>7820</v>
      </c>
      <c r="F100" s="46">
        <f t="shared" si="55"/>
        <v>7820</v>
      </c>
      <c r="G100" s="46">
        <f t="shared" si="55"/>
        <v>7820</v>
      </c>
      <c r="H100" s="46">
        <f t="shared" si="55"/>
        <v>7820</v>
      </c>
      <c r="I100" s="46">
        <f t="shared" si="55"/>
        <v>7820</v>
      </c>
      <c r="J100" s="46">
        <f t="shared" si="55"/>
        <v>7820</v>
      </c>
      <c r="K100" s="46">
        <f t="shared" si="55"/>
        <v>7820</v>
      </c>
      <c r="L100" s="46">
        <f t="shared" si="55"/>
        <v>7820</v>
      </c>
      <c r="M100" s="46">
        <f t="shared" si="55"/>
        <v>7820</v>
      </c>
      <c r="N100" s="46">
        <f t="shared" si="55"/>
        <v>7820</v>
      </c>
      <c r="O100" s="46">
        <f t="shared" si="55"/>
        <v>7820</v>
      </c>
      <c r="P100" s="46">
        <f t="shared" si="55"/>
        <v>7820</v>
      </c>
      <c r="Q100" s="46">
        <f t="shared" si="55"/>
        <v>27320</v>
      </c>
      <c r="R100" s="46">
        <f t="shared" si="55"/>
        <v>7820</v>
      </c>
      <c r="S100" s="46">
        <f t="shared" si="55"/>
        <v>7820</v>
      </c>
      <c r="T100" s="46">
        <f t="shared" si="55"/>
        <v>7820</v>
      </c>
      <c r="U100" s="46">
        <f t="shared" si="55"/>
        <v>7820</v>
      </c>
      <c r="V100" s="46">
        <f t="shared" si="55"/>
        <v>7820</v>
      </c>
      <c r="W100" s="46">
        <f t="shared" si="55"/>
        <v>7820</v>
      </c>
      <c r="X100" s="46">
        <f t="shared" si="55"/>
        <v>7820</v>
      </c>
      <c r="Y100" s="46">
        <f t="shared" si="55"/>
        <v>7820</v>
      </c>
      <c r="Z100" s="46">
        <f t="shared" si="55"/>
        <v>7820</v>
      </c>
      <c r="AA100" s="46">
        <f t="shared" si="55"/>
        <v>7820</v>
      </c>
      <c r="AB100" s="46">
        <f t="shared" si="55"/>
        <v>7820</v>
      </c>
      <c r="AC100" s="46">
        <f t="shared" si="55"/>
        <v>202820</v>
      </c>
    </row>
    <row r="101" spans="1:29">
      <c r="A101" s="26"/>
      <c r="B101" s="26"/>
      <c r="C101" s="26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</row>
    <row r="102" spans="1:29">
      <c r="A102" s="27" t="s">
        <v>209</v>
      </c>
      <c r="B102" s="27" t="s">
        <v>210</v>
      </c>
      <c r="C102" s="27" t="s">
        <v>90</v>
      </c>
      <c r="D102" s="48">
        <f t="shared" ref="D102:AC102" si="56">SUM(D96-D100)</f>
        <v>-673850</v>
      </c>
      <c r="E102" s="48">
        <f t="shared" si="56"/>
        <v>67596.25</v>
      </c>
      <c r="F102" s="48">
        <f t="shared" si="56"/>
        <v>67219.168749999997</v>
      </c>
      <c r="G102" s="48">
        <f t="shared" si="56"/>
        <v>66843.972906250012</v>
      </c>
      <c r="H102" s="48">
        <f t="shared" si="56"/>
        <v>66470.653041718746</v>
      </c>
      <c r="I102" s="48">
        <f t="shared" si="56"/>
        <v>66099.199776510155</v>
      </c>
      <c r="J102" s="48">
        <f t="shared" si="56"/>
        <v>65729.603777627606</v>
      </c>
      <c r="K102" s="48">
        <f t="shared" si="56"/>
        <v>65361.855758739461</v>
      </c>
      <c r="L102" s="48">
        <f t="shared" si="56"/>
        <v>64995.946479945778</v>
      </c>
      <c r="M102" s="48">
        <f t="shared" si="56"/>
        <v>64631.866747546039</v>
      </c>
      <c r="N102" s="48">
        <f t="shared" si="56"/>
        <v>64269.607413808306</v>
      </c>
      <c r="O102" s="48">
        <f t="shared" si="56"/>
        <v>63909.159376739262</v>
      </c>
      <c r="P102" s="48">
        <f t="shared" si="56"/>
        <v>63550.513579855571</v>
      </c>
      <c r="Q102" s="48">
        <f t="shared" si="56"/>
        <v>43693.661011956283</v>
      </c>
      <c r="R102" s="48">
        <f t="shared" si="56"/>
        <v>62838.592706896496</v>
      </c>
      <c r="S102" s="48">
        <f t="shared" si="56"/>
        <v>62485.299743362018</v>
      </c>
      <c r="T102" s="48">
        <f t="shared" si="56"/>
        <v>62133.773244645214</v>
      </c>
      <c r="U102" s="48">
        <f t="shared" si="56"/>
        <v>61784.004378421989</v>
      </c>
      <c r="V102" s="48">
        <f t="shared" si="56"/>
        <v>61435.984356529894</v>
      </c>
      <c r="W102" s="48">
        <f t="shared" si="56"/>
        <v>61089.70443474724</v>
      </c>
      <c r="X102" s="48">
        <f t="shared" si="56"/>
        <v>60745.155912573493</v>
      </c>
      <c r="Y102" s="48">
        <f t="shared" si="56"/>
        <v>60402.330133010633</v>
      </c>
      <c r="Z102" s="48">
        <f t="shared" si="56"/>
        <v>60061.218482345575</v>
      </c>
      <c r="AA102" s="48">
        <f t="shared" si="56"/>
        <v>59721.812389933853</v>
      </c>
      <c r="AB102" s="48">
        <f t="shared" si="56"/>
        <v>59384.103327984179</v>
      </c>
      <c r="AC102" s="48">
        <f t="shared" si="56"/>
        <v>-135951.91718865576</v>
      </c>
    </row>
    <row r="103" spans="1:29">
      <c r="A103" s="27" t="s">
        <v>211</v>
      </c>
      <c r="B103" s="27" t="s">
        <v>212</v>
      </c>
      <c r="C103" s="27" t="s">
        <v>90</v>
      </c>
      <c r="D103" s="48">
        <f>D102</f>
        <v>-673850</v>
      </c>
      <c r="E103" s="48">
        <f>SUM(D103+E102)</f>
        <v>-606253.75</v>
      </c>
      <c r="F103" s="48">
        <f t="shared" ref="F103:J103" si="57">SUM(E103+F102)</f>
        <v>-539034.58125000005</v>
      </c>
      <c r="G103" s="48">
        <f t="shared" si="57"/>
        <v>-472190.60834375001</v>
      </c>
      <c r="H103" s="48">
        <f t="shared" si="57"/>
        <v>-405719.95530203125</v>
      </c>
      <c r="I103" s="48">
        <f t="shared" si="57"/>
        <v>-339620.75552552112</v>
      </c>
      <c r="J103" s="48">
        <f t="shared" si="57"/>
        <v>-273891.15174789354</v>
      </c>
      <c r="K103" s="48">
        <f t="shared" ref="K103" si="58">SUM(J103+K102)</f>
        <v>-208529.29598915408</v>
      </c>
      <c r="L103" s="48">
        <f t="shared" ref="L103" si="59">SUM(K103+L102)</f>
        <v>-143533.34950920829</v>
      </c>
      <c r="M103" s="48">
        <f t="shared" ref="M103" si="60">SUM(L103+M102)</f>
        <v>-78901.48276166225</v>
      </c>
      <c r="N103" s="48">
        <f t="shared" ref="N103:O103" si="61">SUM(M103+N102)</f>
        <v>-14631.875347853944</v>
      </c>
      <c r="O103" s="48">
        <f t="shared" si="61"/>
        <v>49277.284028885319</v>
      </c>
      <c r="P103" s="48">
        <f t="shared" ref="P103" si="62">SUM(O103+P102)</f>
        <v>112827.79760874089</v>
      </c>
      <c r="Q103" s="48">
        <f t="shared" ref="Q103" si="63">SUM(P103+Q102)</f>
        <v>156521.45862069717</v>
      </c>
      <c r="R103" s="48">
        <f t="shared" ref="R103" si="64">SUM(Q103+R102)</f>
        <v>219360.05132759368</v>
      </c>
      <c r="S103" s="48">
        <f t="shared" ref="S103:T103" si="65">SUM(R103+S102)</f>
        <v>281845.35107095569</v>
      </c>
      <c r="T103" s="48">
        <f t="shared" si="65"/>
        <v>343979.1243156009</v>
      </c>
      <c r="U103" s="48">
        <f t="shared" ref="U103" si="66">SUM(T103+U102)</f>
        <v>405763.12869402289</v>
      </c>
      <c r="V103" s="48">
        <f t="shared" ref="V103" si="67">SUM(U103+V102)</f>
        <v>467199.11305055278</v>
      </c>
      <c r="W103" s="48">
        <f t="shared" ref="W103" si="68">SUM(V103+W102)</f>
        <v>528288.81748530001</v>
      </c>
      <c r="X103" s="48">
        <f t="shared" ref="X103:Y103" si="69">SUM(W103+X102)</f>
        <v>589033.97339787346</v>
      </c>
      <c r="Y103" s="48">
        <f t="shared" si="69"/>
        <v>649436.30353088409</v>
      </c>
      <c r="Z103" s="48">
        <f t="shared" ref="Z103" si="70">SUM(Y103+Z102)</f>
        <v>709497.52201322967</v>
      </c>
      <c r="AA103" s="48">
        <f t="shared" ref="AA103" si="71">SUM(Z103+AA102)</f>
        <v>769219.33440316352</v>
      </c>
      <c r="AB103" s="48">
        <f t="shared" ref="AB103" si="72">SUM(AA103+AB102)</f>
        <v>828603.43773114774</v>
      </c>
      <c r="AC103" s="48">
        <f t="shared" ref="AC103" si="73">SUM(AB103+AC102)</f>
        <v>692651.52054249193</v>
      </c>
    </row>
    <row r="104" spans="1:29">
      <c r="A104" s="27" t="s">
        <v>213</v>
      </c>
      <c r="B104" s="27" t="s">
        <v>214</v>
      </c>
      <c r="C104" s="27"/>
      <c r="D104" s="48" t="str">
        <f>IF(D103&lt;0,"-",ABS(C103/C102))</f>
        <v>-</v>
      </c>
      <c r="E104" s="48" t="str">
        <f t="shared" ref="E104:P104" si="74">IF(E103&lt;0,"-",ABS(D103/D102))</f>
        <v>-</v>
      </c>
      <c r="F104" s="48" t="str">
        <f t="shared" si="74"/>
        <v>-</v>
      </c>
      <c r="G104" s="48" t="str">
        <f t="shared" si="74"/>
        <v>-</v>
      </c>
      <c r="H104" s="48" t="str">
        <f t="shared" si="74"/>
        <v>-</v>
      </c>
      <c r="I104" s="48" t="str">
        <f t="shared" si="74"/>
        <v>-</v>
      </c>
      <c r="J104" s="48" t="str">
        <f t="shared" si="74"/>
        <v>-</v>
      </c>
      <c r="K104" s="48" t="str">
        <f t="shared" si="74"/>
        <v>-</v>
      </c>
      <c r="L104" s="48" t="str">
        <f t="shared" si="74"/>
        <v>-</v>
      </c>
      <c r="M104" s="48" t="str">
        <f t="shared" si="74"/>
        <v>-</v>
      </c>
      <c r="N104" s="48" t="str">
        <f t="shared" si="74"/>
        <v>-</v>
      </c>
      <c r="O104" s="48">
        <f t="shared" si="74"/>
        <v>0.22766399137378721</v>
      </c>
      <c r="P104" s="48">
        <f t="shared" si="74"/>
        <v>0.7710519823676566</v>
      </c>
      <c r="Q104" s="48">
        <f t="shared" ref="Q104" si="75">IF(Q103&lt;0,"-",ABS(P103/P102))</f>
        <v>1.7754033957092263</v>
      </c>
      <c r="R104" s="48">
        <f t="shared" ref="R104" si="76">IF(R103&lt;0,"-",ABS(Q103/Q102))</f>
        <v>3.5822463715701649</v>
      </c>
      <c r="S104" s="48">
        <f t="shared" ref="S104" si="77">IF(S103&lt;0,"-",ABS(R103/R102))</f>
        <v>3.4908492039402255</v>
      </c>
      <c r="T104" s="48">
        <f t="shared" ref="T104" si="78">IF(T103&lt;0,"-",ABS(S103/S102))</f>
        <v>4.5105865256075193</v>
      </c>
      <c r="U104" s="48">
        <f t="shared" ref="U104" si="79">IF(U103&lt;0,"-",ABS(T103/T102))</f>
        <v>5.5361055083717385</v>
      </c>
      <c r="V104" s="48">
        <f t="shared" ref="V104" si="80">IF(V103&lt;0,"-",ABS(U103/U102))</f>
        <v>6.5674462634172563</v>
      </c>
      <c r="W104" s="48">
        <f t="shared" ref="W104" si="81">IF(W103&lt;0,"-",ABS(V103/V102))</f>
        <v>7.6046492612418808</v>
      </c>
      <c r="X104" s="48">
        <f t="shared" ref="X104" si="82">IF(X103&lt;0,"-",ABS(W103/W102))</f>
        <v>8.6477553357553063</v>
      </c>
      <c r="Y104" s="48">
        <f t="shared" ref="Y104" si="83">IF(Y103&lt;0,"-",ABS(X103/X102))</f>
        <v>9.6968056884343383</v>
      </c>
      <c r="Z104" s="48">
        <f t="shared" ref="Z104" si="84">IF(Z103&lt;0,"-",ABS(Y103/Y102))</f>
        <v>10.751841892535847</v>
      </c>
      <c r="AA104" s="48">
        <f t="shared" ref="AA104:AB104" si="85">IF(AA103&lt;0,"-",ABS(Z103/Z102))</f>
        <v>11.812905897368362</v>
      </c>
      <c r="AB104" s="48">
        <f t="shared" si="85"/>
        <v>12.880040032623254</v>
      </c>
      <c r="AC104" s="48">
        <f t="shared" ref="AC104" si="86">IF(AC103&lt;0,"-",ABS(AB103/AB102))</f>
        <v>13.953287012766538</v>
      </c>
    </row>
    <row r="105" spans="1:29">
      <c r="A105" s="26"/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</row>
  </sheetData>
  <phoneticPr fontId="3" type="noConversion"/>
  <conditionalFormatting sqref="D103:AB103">
    <cfRule type="expression" dxfId="2" priority="4">
      <formula>$D103&gt;0</formula>
    </cfRule>
  </conditionalFormatting>
  <conditionalFormatting sqref="D103:AC103">
    <cfRule type="cellIs" dxfId="1" priority="1" operator="lessThan">
      <formula>0</formula>
    </cfRule>
    <cfRule type="cellIs" dxfId="0" priority="2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51256-111F-4875-9B61-74243A9D7454}">
  <dimension ref="A2:C14"/>
  <sheetViews>
    <sheetView zoomScale="120" zoomScaleNormal="120" workbookViewId="0">
      <selection activeCell="C14" sqref="C14"/>
    </sheetView>
  </sheetViews>
  <sheetFormatPr defaultRowHeight="15"/>
  <cols>
    <col min="1" max="1" width="20.42578125" customWidth="1"/>
    <col min="2" max="2" width="9" customWidth="1"/>
    <col min="3" max="3" width="13.7109375" bestFit="1" customWidth="1"/>
  </cols>
  <sheetData>
    <row r="2" spans="1:3">
      <c r="A2" s="27" t="s">
        <v>215</v>
      </c>
      <c r="B2" s="27" t="s">
        <v>20</v>
      </c>
      <c r="C2" s="29">
        <f>SUM(Calculations!D13+Calculations!D32+Calculations!D51+Calculations!D70)</f>
        <v>650</v>
      </c>
    </row>
    <row r="3" spans="1:3">
      <c r="A3" s="27" t="s">
        <v>216</v>
      </c>
      <c r="B3" s="27" t="s">
        <v>110</v>
      </c>
      <c r="C3" s="29">
        <f>SUM(Calculations!E15+Calculations!E34+Calculations!E53+Calculations!E72)</f>
        <v>552500</v>
      </c>
    </row>
    <row r="4" spans="1:3">
      <c r="A4" s="27" t="s">
        <v>217</v>
      </c>
      <c r="B4" s="27" t="s">
        <v>110</v>
      </c>
      <c r="C4" s="29">
        <f>SUM(Calculations!E91:AC91)</f>
        <v>13014663.15415745</v>
      </c>
    </row>
    <row r="5" spans="1:3">
      <c r="A5" s="27" t="s">
        <v>218</v>
      </c>
      <c r="B5" s="27" t="s">
        <v>125</v>
      </c>
      <c r="C5" s="29">
        <f>SUM(Calculations!E21+Calculations!E40+Calculations!E59+Calculations!E78)</f>
        <v>114.39512500000001</v>
      </c>
    </row>
    <row r="6" spans="1:3">
      <c r="A6" s="27" t="s">
        <v>219</v>
      </c>
      <c r="B6" s="27" t="s">
        <v>125</v>
      </c>
      <c r="C6" s="29">
        <f>SUM(Calculations!E92:AC92)</f>
        <v>2694.6860060683007</v>
      </c>
    </row>
    <row r="7" spans="1:3">
      <c r="A7" s="27" t="s">
        <v>220</v>
      </c>
      <c r="B7" s="27" t="s">
        <v>90</v>
      </c>
      <c r="C7" s="29">
        <f>SUM(Calculations!E23+Calculations!E42+Calculations!E61+Calculations!E80)</f>
        <v>20718.75</v>
      </c>
    </row>
    <row r="8" spans="1:3">
      <c r="A8" s="27" t="s">
        <v>221</v>
      </c>
      <c r="B8" s="27" t="s">
        <v>90</v>
      </c>
      <c r="C8" s="29">
        <f>SUM(Calculations!E89:AC89)</f>
        <v>488049.86828090443</v>
      </c>
    </row>
    <row r="9" spans="1:3">
      <c r="A9" s="27" t="s">
        <v>222</v>
      </c>
      <c r="B9" s="27" t="s">
        <v>90</v>
      </c>
      <c r="C9" s="29">
        <f>SUM(Calculations!D98+Calculations!D99)</f>
        <v>673850</v>
      </c>
    </row>
    <row r="10" spans="1:3">
      <c r="A10" s="27" t="s">
        <v>223</v>
      </c>
      <c r="B10" s="27" t="s">
        <v>90</v>
      </c>
      <c r="C10" s="29">
        <f>Calculations!E96</f>
        <v>75416.25</v>
      </c>
    </row>
    <row r="11" spans="1:3">
      <c r="A11" s="27" t="s">
        <v>224</v>
      </c>
      <c r="B11" s="27" t="s">
        <v>32</v>
      </c>
      <c r="C11" s="50">
        <f>IRR(Calculations!D102:AC102)</f>
        <v>7.6084188312554701E-2</v>
      </c>
    </row>
    <row r="12" spans="1:3">
      <c r="A12" s="27" t="s">
        <v>225</v>
      </c>
      <c r="B12" s="27" t="s">
        <v>90</v>
      </c>
      <c r="C12" s="29">
        <f>SUM(Calculations!D102:AC102)</f>
        <v>692651.52054249193</v>
      </c>
    </row>
    <row r="13" spans="1:3">
      <c r="A13" s="27" t="s">
        <v>226</v>
      </c>
      <c r="B13" s="27" t="s">
        <v>90</v>
      </c>
      <c r="C13" s="29">
        <f>NPV(Inputs!C42,Calculations!D102:AC102)</f>
        <v>274251.15216568892</v>
      </c>
    </row>
    <row r="14" spans="1:3">
      <c r="A14" s="27" t="s">
        <v>227</v>
      </c>
      <c r="B14" s="27"/>
      <c r="C14" s="30" cm="1">
        <f t="array" ref="C14">SUM((COUNTIF(Calculations!D103:AC103,"&lt;"&amp;0)+INDEX(Calculations!D104:AC104,,COUNTIF(Calculations!D103:AC103,"&lt;"&amp;0)+1))-1)</f>
        <v>10.227663991373786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DEA045BA922D428E39C9EEDF90B99F" ma:contentTypeVersion="25" ma:contentTypeDescription="Create a new document." ma:contentTypeScope="" ma:versionID="34800ef55f0c2f72ff1c260eb0fe6192">
  <xsd:schema xmlns:xsd="http://www.w3.org/2001/XMLSchema" xmlns:xs="http://www.w3.org/2001/XMLSchema" xmlns:p="http://schemas.microsoft.com/office/2006/metadata/properties" xmlns:ns2="0063f72e-ace3-48fb-9c1f-5b513408b31f" xmlns:ns3="075b2052-407b-4e27-9218-519b2acbe890" xmlns:ns4="b413c3fd-5a3b-4239-b985-69032e371c04" xmlns:ns5="a8f60570-4bd3-4f2b-950b-a996de8ab151" xmlns:ns6="aaacb922-5235-4a66-b188-303b9b46fbd7" xmlns:ns7="2ec6ebee-eb2c-4409-bb6f-44a62ab4077e" targetNamespace="http://schemas.microsoft.com/office/2006/metadata/properties" ma:root="true" ma:fieldsID="105c9546c4c61bfb31acdbc7c68ed6de" ns2:_="" ns3:_="" ns4:_="" ns5:_="" ns6:_="" ns7:_="">
    <xsd:import namespace="0063f72e-ace3-48fb-9c1f-5b513408b31f"/>
    <xsd:import namespace="075b2052-407b-4e27-9218-519b2acbe890"/>
    <xsd:import namespace="b413c3fd-5a3b-4239-b985-69032e371c04"/>
    <xsd:import namespace="a8f60570-4bd3-4f2b-950b-a996de8ab151"/>
    <xsd:import namespace="aaacb922-5235-4a66-b188-303b9b46fbd7"/>
    <xsd:import namespace="2ec6ebee-eb2c-4409-bb6f-44a62ab4077e"/>
    <xsd:element name="properties">
      <xsd:complexType>
        <xsd:sequence>
          <xsd:element name="documentManagement">
            <xsd:complexType>
              <xsd:all>
                <xsd:element ref="ns2:Security_x0020_Classification" minOccurs="0"/>
                <xsd:element ref="ns2:Descriptor" minOccurs="0"/>
                <xsd:element ref="ns3:m975189f4ba442ecbf67d4147307b177" minOccurs="0"/>
                <xsd:element ref="ns3:TaxCatchAll" minOccurs="0"/>
                <xsd:element ref="ns3:TaxCatchAllLabel" minOccurs="0"/>
                <xsd:element ref="ns4:Government_x0020_Body" minOccurs="0"/>
                <xsd:element ref="ns4:Date_x0020_Opened" minOccurs="0"/>
                <xsd:element ref="ns4:Date_x0020_Closed" minOccurs="0"/>
                <xsd:element ref="ns5:Retention_x0020_Label" minOccurs="0"/>
                <xsd:element ref="ns6:LegacyData" minOccurs="0"/>
                <xsd:element ref="ns7:MediaServiceMetadata" minOccurs="0"/>
                <xsd:element ref="ns7:MediaServiceFastMetadata" minOccurs="0"/>
                <xsd:element ref="ns7:MediaServiceAutoKeyPoints" minOccurs="0"/>
                <xsd:element ref="ns7:MediaServiceKeyPoints" minOccurs="0"/>
                <xsd:element ref="ns3:_dlc_DocId" minOccurs="0"/>
                <xsd:element ref="ns3:_dlc_DocIdUrl" minOccurs="0"/>
                <xsd:element ref="ns3:_dlc_DocIdPersistId" minOccurs="0"/>
                <xsd:element ref="ns7:MediaServiceDateTaken" minOccurs="0"/>
                <xsd:element ref="ns3:SharedWithUsers" minOccurs="0"/>
                <xsd:element ref="ns3:SharedWithDetails" minOccurs="0"/>
                <xsd:element ref="ns7:MediaServiceAutoTags" minOccurs="0"/>
                <xsd:element ref="ns7:MediaServiceOCR" minOccurs="0"/>
                <xsd:element ref="ns7:MediaServiceGenerationTime" minOccurs="0"/>
                <xsd:element ref="ns7:MediaServiceEventHashCode" minOccurs="0"/>
                <xsd:element ref="ns7:lcf76f155ced4ddcb4097134ff3c332f" minOccurs="0"/>
                <xsd:element ref="ns7:MediaLengthInSeconds" minOccurs="0"/>
                <xsd:element ref="ns7:MediaServiceObjectDetectorVersions" minOccurs="0"/>
                <xsd:element ref="ns7:MediaServiceSearchProperties" minOccurs="0"/>
                <xsd:element ref="ns7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63f72e-ace3-48fb-9c1f-5b513408b31f" elementFormDefault="qualified">
    <xsd:import namespace="http://schemas.microsoft.com/office/2006/documentManagement/types"/>
    <xsd:import namespace="http://schemas.microsoft.com/office/infopath/2007/PartnerControls"/>
    <xsd:element name="Security_x0020_Classification" ma:index="8" nillable="true" ma:displayName="Security Classification" ma:default="OFFICIAL" ma:format="Dropdown" ma:indexed="true" ma:internalName="Security_x0020_Classification">
      <xsd:simpleType>
        <xsd:restriction base="dms:Choice">
          <xsd:enumeration value="OFFICIAL"/>
          <xsd:enumeration value="OFFICIAL - SENSITIVE"/>
        </xsd:restriction>
      </xsd:simpleType>
    </xsd:element>
    <xsd:element name="Descriptor" ma:index="9" nillable="true" ma:displayName="Descriptor" ma:default="" ma:format="Dropdown" ma:indexed="true" ma:internalName="Descriptor">
      <xsd:simpleType>
        <xsd:restriction base="dms:Choice">
          <xsd:enumeration value="COMMERCIAL"/>
          <xsd:enumeration value="PERSONAL"/>
          <xsd:enumeration value="LOCSE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5b2052-407b-4e27-9218-519b2acbe890" elementFormDefault="qualified">
    <xsd:import namespace="http://schemas.microsoft.com/office/2006/documentManagement/types"/>
    <xsd:import namespace="http://schemas.microsoft.com/office/infopath/2007/PartnerControls"/>
    <xsd:element name="m975189f4ba442ecbf67d4147307b177" ma:index="10" nillable="true" ma:taxonomy="true" ma:internalName="m975189f4ba442ecbf67d4147307b177" ma:taxonomyFieldName="Business_x0020_Unit" ma:displayName="Business Unit" ma:default="1;#Energy Efficiency and Local|457be5e4-4b91-494e-beda-509bcb82df7c" ma:fieldId="{6975189f-4ba4-42ec-bf67-d4147307b177}" ma:sspId="9b0aeba9-2bce-41c2-8545-5d12d676a674" ma:termSetId="6f71e40e-3a2e-4baf-91d9-2069eb35453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1" nillable="true" ma:displayName="Taxonomy Catch All Column" ma:hidden="true" ma:list="{c5f27ec4-03b5-42b8-82f3-68b75392d30c}" ma:internalName="TaxCatchAll" ma:showField="CatchAllData" ma:web="075b2052-407b-4e27-9218-519b2acbe8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" nillable="true" ma:displayName="Taxonomy Catch All Column1" ma:hidden="true" ma:list="{c5f27ec4-03b5-42b8-82f3-68b75392d30c}" ma:internalName="TaxCatchAllLabel" ma:readOnly="true" ma:showField="CatchAllDataLabel" ma:web="075b2052-407b-4e27-9218-519b2acbe8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23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13c3fd-5a3b-4239-b985-69032e371c04" elementFormDefault="qualified">
    <xsd:import namespace="http://schemas.microsoft.com/office/2006/documentManagement/types"/>
    <xsd:import namespace="http://schemas.microsoft.com/office/infopath/2007/PartnerControls"/>
    <xsd:element name="Government_x0020_Body" ma:index="14" nillable="true" ma:displayName="Government Body" ma:default="BEIS" ma:internalName="Government_x0020_Body">
      <xsd:simpleType>
        <xsd:restriction base="dms:Text">
          <xsd:maxLength value="255"/>
        </xsd:restriction>
      </xsd:simpleType>
    </xsd:element>
    <xsd:element name="Date_x0020_Opened" ma:index="15" nillable="true" ma:displayName="Date Opened" ma:default="[Today]" ma:format="DateOnly" ma:internalName="Date_x0020_Opened">
      <xsd:simpleType>
        <xsd:restriction base="dms:DateTime"/>
      </xsd:simpleType>
    </xsd:element>
    <xsd:element name="Date_x0020_Closed" ma:index="16" nillable="true" ma:displayName="Date Closed" ma:format="DateOnly" ma:internalName="Date_x0020_Clos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f60570-4bd3-4f2b-950b-a996de8ab151" elementFormDefault="qualified">
    <xsd:import namespace="http://schemas.microsoft.com/office/2006/documentManagement/types"/>
    <xsd:import namespace="http://schemas.microsoft.com/office/infopath/2007/PartnerControls"/>
    <xsd:element name="Retention_x0020_Label" ma:index="17" nillable="true" ma:displayName="Retention Label" ma:internalName="Retention_x0020_Label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acb922-5235-4a66-b188-303b9b46fbd7" elementFormDefault="qualified">
    <xsd:import namespace="http://schemas.microsoft.com/office/2006/documentManagement/types"/>
    <xsd:import namespace="http://schemas.microsoft.com/office/infopath/2007/PartnerControls"/>
    <xsd:element name="LegacyData" ma:index="18" nillable="true" ma:displayName="Legacy Data" ma:internalName="LegacyData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c6ebee-eb2c-4409-bb6f-44a62ab407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9" nillable="true" ma:displayName="Tags" ma:internalName="MediaServiceAutoTags" ma:readOnly="true">
      <xsd:simpleType>
        <xsd:restriction base="dms:Text"/>
      </xsd:simpleType>
    </xsd:element>
    <xsd:element name="MediaServiceOCR" ma:index="3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2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34" nillable="true" ma:taxonomy="true" ma:internalName="lcf76f155ced4ddcb4097134ff3c332f" ma:taxonomyFieldName="MediaServiceImageTags" ma:displayName="Image Tags" ma:readOnly="false" ma:fieldId="{5cf76f15-5ced-4ddc-b409-7134ff3c332f}" ma:taxonomyMulti="true" ma:sspId="9b0aeba9-2bce-41c2-8545-5d12d676a6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38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overnment_x0020_Body xmlns="b413c3fd-5a3b-4239-b985-69032e371c04">BEIS</Government_x0020_Body>
    <Date_x0020_Opened xmlns="b413c3fd-5a3b-4239-b985-69032e371c04">2025-07-08T14:30:45+00:00</Date_x0020_Opened>
    <lcf76f155ced4ddcb4097134ff3c332f xmlns="2ec6ebee-eb2c-4409-bb6f-44a62ab4077e">
      <Terms xmlns="http://schemas.microsoft.com/office/infopath/2007/PartnerControls"/>
    </lcf76f155ced4ddcb4097134ff3c332f>
    <LegacyData xmlns="aaacb922-5235-4a66-b188-303b9b46fbd7" xsi:nil="true"/>
    <Descriptor xmlns="0063f72e-ace3-48fb-9c1f-5b513408b31f" xsi:nil="true"/>
    <Security_x0020_Classification xmlns="0063f72e-ace3-48fb-9c1f-5b513408b31f">OFFICIAL</Security_x0020_Classification>
    <TaxCatchAll xmlns="075b2052-407b-4e27-9218-519b2acbe890">
      <Value>1</Value>
    </TaxCatchAll>
    <m975189f4ba442ecbf67d4147307b177 xmlns="075b2052-407b-4e27-9218-519b2acbe890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Energy Efficiency and Local</TermName>
          <TermId xmlns="http://schemas.microsoft.com/office/infopath/2007/PartnerControls">457be5e4-4b91-494e-beda-509bcb82df7c</TermId>
        </TermInfo>
      </Terms>
    </m975189f4ba442ecbf67d4147307b177>
    <Retention_x0020_Label xmlns="a8f60570-4bd3-4f2b-950b-a996de8ab151" xsi:nil="true"/>
    <Date_x0020_Closed xmlns="b413c3fd-5a3b-4239-b985-69032e371c04" xsi:nil="true"/>
    <_dlc_DocId xmlns="075b2052-407b-4e27-9218-519b2acbe890">VY7P5N7VH3FT-432228573-6745</_dlc_DocId>
    <_dlc_DocIdUrl xmlns="075b2052-407b-4e27-9218-519b2acbe890">
      <Url>https://beisgov.sharepoint.com/sites/LocalEnergyHubs/_layouts/15/DocIdRedir.aspx?ID=VY7P5N7VH3FT-432228573-6745</Url>
      <Description>VY7P5N7VH3FT-432228573-6745</Description>
    </_dlc_DocIdUrl>
  </documentManagement>
</p:properties>
</file>

<file path=customXml/itemProps1.xml><?xml version="1.0" encoding="utf-8"?>
<ds:datastoreItem xmlns:ds="http://schemas.openxmlformats.org/officeDocument/2006/customXml" ds:itemID="{CB084EBE-451B-43F3-B883-2EB477A2CAEE}"/>
</file>

<file path=customXml/itemProps2.xml><?xml version="1.0" encoding="utf-8"?>
<ds:datastoreItem xmlns:ds="http://schemas.openxmlformats.org/officeDocument/2006/customXml" ds:itemID="{5D725EAA-85AB-4826-A234-FDA29B957353}"/>
</file>

<file path=customXml/itemProps3.xml><?xml version="1.0" encoding="utf-8"?>
<ds:datastoreItem xmlns:ds="http://schemas.openxmlformats.org/officeDocument/2006/customXml" ds:itemID="{0D3DAACB-6A7B-4AFD-9CAA-7C8D3B2EEE05}"/>
</file>

<file path=customXml/itemProps4.xml><?xml version="1.0" encoding="utf-8"?>
<ds:datastoreItem xmlns:ds="http://schemas.openxmlformats.org/officeDocument/2006/customXml" ds:itemID="{DC07C2E5-6F8D-4737-A553-FECE9024690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Baross Harry</dc:creator>
  <cp:keywords/>
  <dc:description/>
  <cp:lastModifiedBy>Harry Baross</cp:lastModifiedBy>
  <cp:revision/>
  <dcterms:created xsi:type="dcterms:W3CDTF">2024-11-15T09:46:21Z</dcterms:created>
  <dcterms:modified xsi:type="dcterms:W3CDTF">2026-07-09T10:32:38Z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dad5af3-eb5c-4559-9375-26974fdd413e_Enabled">
    <vt:lpwstr>true</vt:lpwstr>
  </property>
  <property fmtid="{D5CDD505-2E9C-101B-9397-08002B2CF9AE}" pid="3" name="MSIP_Label_bdad5af3-eb5c-4559-9375-26974fdd413e_SetDate">
    <vt:lpwstr>2024-11-15T09:46:32Z</vt:lpwstr>
  </property>
  <property fmtid="{D5CDD505-2E9C-101B-9397-08002B2CF9AE}" pid="4" name="MSIP_Label_bdad5af3-eb5c-4559-9375-26974fdd413e_Method">
    <vt:lpwstr>Standard</vt:lpwstr>
  </property>
  <property fmtid="{D5CDD505-2E9C-101B-9397-08002B2CF9AE}" pid="5" name="MSIP_Label_bdad5af3-eb5c-4559-9375-26974fdd413e_Name">
    <vt:lpwstr>General</vt:lpwstr>
  </property>
  <property fmtid="{D5CDD505-2E9C-101B-9397-08002B2CF9AE}" pid="6" name="MSIP_Label_bdad5af3-eb5c-4559-9375-26974fdd413e_SiteId">
    <vt:lpwstr>998b793d-d177-4b88-8be1-6fe1f323a70b</vt:lpwstr>
  </property>
  <property fmtid="{D5CDD505-2E9C-101B-9397-08002B2CF9AE}" pid="7" name="MSIP_Label_bdad5af3-eb5c-4559-9375-26974fdd413e_ActionId">
    <vt:lpwstr>e8367d0d-c611-42ec-bca8-28efcf5ee73b</vt:lpwstr>
  </property>
  <property fmtid="{D5CDD505-2E9C-101B-9397-08002B2CF9AE}" pid="8" name="MSIP_Label_bdad5af3-eb5c-4559-9375-26974fdd413e_ContentBits">
    <vt:lpwstr>3</vt:lpwstr>
  </property>
  <property fmtid="{D5CDD505-2E9C-101B-9397-08002B2CF9AE}" pid="9" name="ContentTypeId">
    <vt:lpwstr>0x01010016DEA045BA922D428E39C9EEDF90B99F</vt:lpwstr>
  </property>
  <property fmtid="{D5CDD505-2E9C-101B-9397-08002B2CF9AE}" pid="10" name="Business Unit">
    <vt:lpwstr>1;#Energy Efficiency and Local|457be5e4-4b91-494e-beda-509bcb82df7c</vt:lpwstr>
  </property>
  <property fmtid="{D5CDD505-2E9C-101B-9397-08002B2CF9AE}" pid="11" name="_dlc_DocIdItemGuid">
    <vt:lpwstr>6ac4690e-14f8-444c-8d26-51f3d5ee5b27</vt:lpwstr>
  </property>
  <property fmtid="{D5CDD505-2E9C-101B-9397-08002B2CF9AE}" pid="12" name="MediaServiceImageTags">
    <vt:lpwstr/>
  </property>
  <property fmtid="{D5CDD505-2E9C-101B-9397-08002B2CF9AE}" pid="13" name="Business_x0020_Unit">
    <vt:lpwstr>1;#Energy Efficiency and Local|457be5e4-4b91-494e-beda-509bcb82df7c</vt:lpwstr>
  </property>
  <property fmtid="{D5CDD505-2E9C-101B-9397-08002B2CF9AE}" pid="14" name="MSIP_Label_defa4170-0d19-0005-0004-bc88714345d2_Enabled">
    <vt:lpwstr>true</vt:lpwstr>
  </property>
  <property fmtid="{D5CDD505-2E9C-101B-9397-08002B2CF9AE}" pid="15" name="MSIP_Label_defa4170-0d19-0005-0004-bc88714345d2_SetDate">
    <vt:lpwstr>2026-07-09T08:28:41Z</vt:lpwstr>
  </property>
  <property fmtid="{D5CDD505-2E9C-101B-9397-08002B2CF9AE}" pid="16" name="MSIP_Label_defa4170-0d19-0005-0004-bc88714345d2_Method">
    <vt:lpwstr>Standard</vt:lpwstr>
  </property>
  <property fmtid="{D5CDD505-2E9C-101B-9397-08002B2CF9AE}" pid="17" name="MSIP_Label_defa4170-0d19-0005-0004-bc88714345d2_Name">
    <vt:lpwstr>defa4170-0d19-0005-0004-bc88714345d2</vt:lpwstr>
  </property>
  <property fmtid="{D5CDD505-2E9C-101B-9397-08002B2CF9AE}" pid="18" name="MSIP_Label_defa4170-0d19-0005-0004-bc88714345d2_SiteId">
    <vt:lpwstr>b1d2ac13-c8d4-4026-b891-6c73944b924b</vt:lpwstr>
  </property>
  <property fmtid="{D5CDD505-2E9C-101B-9397-08002B2CF9AE}" pid="19" name="MSIP_Label_defa4170-0d19-0005-0004-bc88714345d2_ActionId">
    <vt:lpwstr>4abf639f-c2e9-42d3-9adc-18a2c181bfb8</vt:lpwstr>
  </property>
  <property fmtid="{D5CDD505-2E9C-101B-9397-08002B2CF9AE}" pid="20" name="MSIP_Label_defa4170-0d19-0005-0004-bc88714345d2_ContentBits">
    <vt:lpwstr>0</vt:lpwstr>
  </property>
  <property fmtid="{D5CDD505-2E9C-101B-9397-08002B2CF9AE}" pid="21" name="MSIP_Label_defa4170-0d19-0005-0004-bc88714345d2_Tag">
    <vt:lpwstr>10, 3, 0, 1</vt:lpwstr>
  </property>
</Properties>
</file>